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FRANCEAGRIMER\ENTITE\MEP\SMEF\U_GC\_COMMUN\Cellule OLEOPROT\BILANS OLÉO-PRO\RÉUNION BILANS\2017-18\2 - Réunion bilans 05-10-2017\BILANS\"/>
    </mc:Choice>
  </mc:AlternateContent>
  <bookViews>
    <workbookView xWindow="8940" yWindow="-15" windowWidth="16095" windowHeight="13005" tabRatio="584"/>
  </bookViews>
  <sheets>
    <sheet name="CO " sheetId="20" r:id="rId1"/>
    <sheet name="CO 16-17" sheetId="29" state="hidden" r:id="rId2"/>
    <sheet name="TO " sheetId="22" r:id="rId3"/>
    <sheet name="TO 16-17" sheetId="30" state="hidden" r:id="rId4"/>
    <sheet name="SO " sheetId="24" r:id="rId5"/>
    <sheet name="SO 16-17 " sheetId="31" state="hidden" r:id="rId6"/>
    <sheet name="PO " sheetId="25" r:id="rId7"/>
    <sheet name="PO 16-17" sheetId="32" state="hidden" r:id="rId8"/>
    <sheet name="FEV " sheetId="28" r:id="rId9"/>
    <sheet name="FEV 16-17" sheetId="33" state="hidden" r:id="rId10"/>
  </sheets>
  <externalReferences>
    <externalReference r:id="rId11"/>
  </externalReferences>
  <definedNames>
    <definedName name="coaout">#REF!</definedName>
    <definedName name="coaout_1">#REF!</definedName>
    <definedName name="coaout_3">#REF!</definedName>
    <definedName name="coaout_5">#REF!</definedName>
    <definedName name="coaout_7">#REF!</definedName>
    <definedName name="coll">#REF!</definedName>
    <definedName name="coll_1">#REF!</definedName>
    <definedName name="coll_3">#REF!</definedName>
    <definedName name="coll_5">#REF!</definedName>
    <definedName name="coll_7">#REF!</definedName>
    <definedName name="cosep">#REF!</definedName>
    <definedName name="cosep_1">#REF!</definedName>
    <definedName name="cosep_3">#REF!</definedName>
    <definedName name="cosep_5">#REF!</definedName>
    <definedName name="cosep_7">#REF!</definedName>
    <definedName name="d">#REF!</definedName>
    <definedName name="der">#REF!</definedName>
    <definedName name="gg">#REF!</definedName>
    <definedName name="ggg">#REF!</definedName>
    <definedName name="juilcolza">#REF!</definedName>
    <definedName name="juilcolza_1">#REF!</definedName>
    <definedName name="juilcolza_3">#REF!</definedName>
    <definedName name="juilcolza_5">#REF!</definedName>
    <definedName name="juilcolza_7">#REF!</definedName>
    <definedName name="juillet">#REF!</definedName>
    <definedName name="juillet_1">#REF!</definedName>
    <definedName name="juillet_3">#REF!</definedName>
    <definedName name="juillet_5">#REF!</definedName>
    <definedName name="juillet_7">#REF!</definedName>
    <definedName name="prod">#REF!</definedName>
    <definedName name="prod_1">#REF!</definedName>
    <definedName name="prod_3">#REF!</definedName>
    <definedName name="prod_5">#REF!</definedName>
    <definedName name="prod_7">#REF!</definedName>
    <definedName name="surf">#REF!</definedName>
    <definedName name="surf_1">#REF!</definedName>
    <definedName name="surf_3">#REF!</definedName>
    <definedName name="surf_5">#REF!</definedName>
    <definedName name="surf_7">#REF!</definedName>
    <definedName name="_xlnm.Print_Area" localSheetId="0">'CO '!$A$1:$AT$49</definedName>
    <definedName name="_xlnm.Print_Area" localSheetId="8">'FEV '!$A$1:$AT$49</definedName>
    <definedName name="_xlnm.Print_Area" localSheetId="6">'PO '!$A$1:$AT$49</definedName>
    <definedName name="_xlnm.Print_Area" localSheetId="4">'SO '!$A$1:$AU$52</definedName>
    <definedName name="_xlnm.Print_Area" localSheetId="2">'TO '!$A$1:$AU$50</definedName>
  </definedNames>
  <calcPr calcId="152511"/>
</workbook>
</file>

<file path=xl/calcChain.xml><?xml version="1.0" encoding="utf-8"?>
<calcChain xmlns="http://schemas.openxmlformats.org/spreadsheetml/2006/main">
  <c r="AO27" i="20" l="1"/>
  <c r="AP43" i="22" l="1"/>
  <c r="AJ43" i="22"/>
  <c r="AC43" i="22"/>
  <c r="X43" i="22"/>
  <c r="R43" i="22"/>
  <c r="AB42" i="28"/>
  <c r="AO42" i="28"/>
  <c r="AI42" i="28"/>
  <c r="W42" i="28"/>
  <c r="Q42" i="28"/>
  <c r="AQ39" i="28"/>
  <c r="AQ38" i="28"/>
  <c r="AQ35" i="28"/>
  <c r="AQ34" i="28"/>
  <c r="AQ33" i="28"/>
  <c r="AQ32" i="28"/>
  <c r="AQ26" i="28"/>
  <c r="AQ25" i="28"/>
  <c r="AQ21" i="28"/>
  <c r="AQ10" i="28"/>
  <c r="AQ9" i="28"/>
  <c r="AQ8" i="28"/>
  <c r="AQ39" i="25"/>
  <c r="AQ38" i="25"/>
  <c r="AQ35" i="25"/>
  <c r="AQ34" i="25"/>
  <c r="AQ33" i="25"/>
  <c r="AQ32" i="25"/>
  <c r="AQ26" i="25"/>
  <c r="AQ25" i="25"/>
  <c r="AQ21" i="25"/>
  <c r="AQ10" i="25"/>
  <c r="AQ8" i="25"/>
  <c r="AO42" i="25"/>
  <c r="AP20" i="25" s="1"/>
  <c r="AI42" i="25"/>
  <c r="AB42" i="25"/>
  <c r="W42" i="25"/>
  <c r="Q42" i="25"/>
  <c r="AO42" i="20"/>
  <c r="AP20" i="20" s="1"/>
  <c r="AI42" i="20"/>
  <c r="AO20" i="20" s="1"/>
  <c r="AB42" i="20"/>
  <c r="AI20" i="20" s="1"/>
  <c r="X42" i="20"/>
  <c r="X46" i="20" s="1"/>
  <c r="R42" i="20"/>
  <c r="X20" i="20" s="1"/>
  <c r="AR36" i="24"/>
  <c r="AR35" i="24"/>
  <c r="AR34" i="24"/>
  <c r="AR33" i="24"/>
  <c r="AR32" i="24"/>
  <c r="AR21" i="24"/>
  <c r="AR13" i="24"/>
  <c r="AR12" i="24"/>
  <c r="AR10" i="24"/>
  <c r="AR8" i="24"/>
  <c r="AQ36" i="22"/>
  <c r="AR40" i="22"/>
  <c r="AR39" i="22"/>
  <c r="AR35" i="22"/>
  <c r="AR34" i="22"/>
  <c r="AR33" i="22"/>
  <c r="AR32" i="22"/>
  <c r="AR26" i="22"/>
  <c r="AR25" i="22"/>
  <c r="AR21" i="22"/>
  <c r="AR12" i="22"/>
  <c r="AR10" i="22"/>
  <c r="AR8" i="22"/>
  <c r="AQ39" i="20"/>
  <c r="AQ38" i="20"/>
  <c r="AQ34" i="20"/>
  <c r="AQ33" i="20"/>
  <c r="AQ32" i="20"/>
  <c r="AQ26" i="20"/>
  <c r="AQ25" i="20"/>
  <c r="AQ21" i="20"/>
  <c r="AQ10" i="20"/>
  <c r="AQ9" i="20"/>
  <c r="AQ8" i="20"/>
  <c r="AO24" i="20"/>
  <c r="AP22" i="24"/>
  <c r="AO22" i="28"/>
  <c r="AO22" i="25"/>
  <c r="AO24" i="28"/>
  <c r="AO31" i="28"/>
  <c r="AO37" i="28"/>
  <c r="AN24" i="25"/>
  <c r="AO24" i="25"/>
  <c r="AO37" i="25"/>
  <c r="AO31" i="25"/>
  <c r="AP38" i="24"/>
  <c r="AP31" i="24"/>
  <c r="AP41" i="24" s="1"/>
  <c r="AP24" i="24"/>
  <c r="AP24" i="22"/>
  <c r="AP38" i="22"/>
  <c r="AP12" i="24"/>
  <c r="AP13" i="24" s="1"/>
  <c r="AO9" i="25"/>
  <c r="AO12" i="25"/>
  <c r="AO13" i="25" s="1"/>
  <c r="AO12" i="28"/>
  <c r="AO13" i="28"/>
  <c r="AO9" i="28"/>
  <c r="AP36" i="22"/>
  <c r="AP31" i="22" s="1"/>
  <c r="AP41" i="22" s="1"/>
  <c r="AP22" i="22"/>
  <c r="AP12" i="22"/>
  <c r="AP13" i="22"/>
  <c r="AP9" i="22"/>
  <c r="AR9" i="22" s="1"/>
  <c r="AO22" i="20"/>
  <c r="AO12" i="20"/>
  <c r="AO13" i="20"/>
  <c r="AO9" i="20"/>
  <c r="AO35" i="20"/>
  <c r="AO31" i="20" s="1"/>
  <c r="AO40" i="20" s="1"/>
  <c r="AO37" i="20"/>
  <c r="AP37" i="20"/>
  <c r="AQ37" i="20" s="1"/>
  <c r="AP22" i="28"/>
  <c r="AQ22" i="28" s="1"/>
  <c r="AP17" i="28"/>
  <c r="AP16" i="28"/>
  <c r="AP24" i="25"/>
  <c r="AQ24" i="25" s="1"/>
  <c r="AP16" i="25"/>
  <c r="AP21" i="25"/>
  <c r="AP12" i="25" s="1"/>
  <c r="AQ12" i="25" s="1"/>
  <c r="AR26" i="24"/>
  <c r="AR25" i="24"/>
  <c r="AQ24" i="24"/>
  <c r="AR24" i="24" s="1"/>
  <c r="AQ9" i="24"/>
  <c r="AR9" i="24" s="1"/>
  <c r="AQ21" i="24"/>
  <c r="AQ15" i="24"/>
  <c r="AQ16" i="24"/>
  <c r="AQ38" i="22"/>
  <c r="AR38" i="22" s="1"/>
  <c r="AQ22" i="22"/>
  <c r="AQ15" i="22"/>
  <c r="AQ16" i="22"/>
  <c r="AQ12" i="22"/>
  <c r="AQ13" i="22" s="1"/>
  <c r="AP15" i="20"/>
  <c r="AP16" i="20"/>
  <c r="AP21" i="20"/>
  <c r="AP35" i="20" s="1"/>
  <c r="AP31" i="20" s="1"/>
  <c r="AP12" i="20"/>
  <c r="AP13" i="20" s="1"/>
  <c r="AQ13" i="20" s="1"/>
  <c r="AP9" i="20"/>
  <c r="AN9" i="20"/>
  <c r="AN21" i="20"/>
  <c r="AN12" i="20" s="1"/>
  <c r="AN13" i="20" s="1"/>
  <c r="AN22" i="20"/>
  <c r="AN20" i="20"/>
  <c r="AN27" i="20" s="1"/>
  <c r="AK20" i="20"/>
  <c r="AK27" i="20" s="1"/>
  <c r="AN24" i="20"/>
  <c r="AN37" i="20"/>
  <c r="AP24" i="28"/>
  <c r="AQ24" i="28" s="1"/>
  <c r="AP31" i="28"/>
  <c r="AP37" i="28"/>
  <c r="AP12" i="28"/>
  <c r="AQ12" i="28" s="1"/>
  <c r="AP13" i="28"/>
  <c r="AQ13" i="28" s="1"/>
  <c r="AP9" i="28"/>
  <c r="AP31" i="25"/>
  <c r="AQ31" i="25" s="1"/>
  <c r="AP37" i="25"/>
  <c r="AP9" i="25"/>
  <c r="AQ9" i="25" s="1"/>
  <c r="AQ31" i="24"/>
  <c r="AQ38" i="24"/>
  <c r="AR38" i="24" s="1"/>
  <c r="AQ24" i="22"/>
  <c r="AR24" i="22" s="1"/>
  <c r="AQ31" i="22"/>
  <c r="AQ41" i="22" s="1"/>
  <c r="AR41" i="22" s="1"/>
  <c r="AQ9" i="22"/>
  <c r="AP24" i="20"/>
  <c r="AP22" i="20"/>
  <c r="AO38" i="24"/>
  <c r="AO31" i="24"/>
  <c r="AO41" i="24" s="1"/>
  <c r="AO21" i="22"/>
  <c r="AO22" i="22" s="1"/>
  <c r="B24" i="24"/>
  <c r="B27" i="24"/>
  <c r="B31" i="24"/>
  <c r="B38" i="24"/>
  <c r="C24" i="24"/>
  <c r="C31" i="24"/>
  <c r="C38" i="24"/>
  <c r="D24" i="24"/>
  <c r="D31" i="24"/>
  <c r="D38" i="24"/>
  <c r="E24" i="24"/>
  <c r="E31" i="24"/>
  <c r="E41" i="24" s="1"/>
  <c r="E38" i="24"/>
  <c r="H24" i="24"/>
  <c r="H31" i="24"/>
  <c r="H38" i="24"/>
  <c r="M24" i="24"/>
  <c r="M31" i="24"/>
  <c r="M38" i="24"/>
  <c r="R24" i="24"/>
  <c r="R31" i="24"/>
  <c r="R38" i="24"/>
  <c r="X24" i="24"/>
  <c r="X31" i="24"/>
  <c r="X41" i="24" s="1"/>
  <c r="X38" i="24"/>
  <c r="AC24" i="24"/>
  <c r="AC31" i="24"/>
  <c r="AC38" i="24"/>
  <c r="AJ24" i="24"/>
  <c r="AJ31" i="24"/>
  <c r="AJ38" i="24"/>
  <c r="AO21" i="24"/>
  <c r="AO22" i="24" s="1"/>
  <c r="AR22" i="24" s="1"/>
  <c r="B24" i="25"/>
  <c r="B27" i="25"/>
  <c r="B42" i="25" s="1"/>
  <c r="C20" i="25" s="1"/>
  <c r="B31" i="25"/>
  <c r="B37" i="25"/>
  <c r="C24" i="25"/>
  <c r="C31" i="25"/>
  <c r="C40" i="25" s="1"/>
  <c r="C37" i="25"/>
  <c r="D24" i="25"/>
  <c r="D31" i="25"/>
  <c r="D37" i="25"/>
  <c r="E24" i="25"/>
  <c r="E31" i="25"/>
  <c r="E40" i="25" s="1"/>
  <c r="E37" i="25"/>
  <c r="H24" i="25"/>
  <c r="H31" i="25"/>
  <c r="H37" i="25"/>
  <c r="L24" i="25"/>
  <c r="L31" i="25"/>
  <c r="L40" i="25" s="1"/>
  <c r="L37" i="25"/>
  <c r="Q24" i="25"/>
  <c r="Q31" i="25"/>
  <c r="Q37" i="25"/>
  <c r="W24" i="25"/>
  <c r="W31" i="25"/>
  <c r="W40" i="25" s="1"/>
  <c r="W37" i="25"/>
  <c r="AB24" i="25"/>
  <c r="AB31" i="25"/>
  <c r="AB37" i="25"/>
  <c r="AI24" i="25"/>
  <c r="AI31" i="25"/>
  <c r="AI37" i="25"/>
  <c r="AN21" i="25"/>
  <c r="AN22" i="25" s="1"/>
  <c r="AN31" i="25"/>
  <c r="AN40" i="25"/>
  <c r="AN37" i="25"/>
  <c r="B24" i="28"/>
  <c r="B27" i="28"/>
  <c r="B31" i="28"/>
  <c r="B37" i="28"/>
  <c r="C24" i="28"/>
  <c r="C31" i="28"/>
  <c r="C37" i="28"/>
  <c r="D24" i="28"/>
  <c r="D31" i="28"/>
  <c r="D37" i="28"/>
  <c r="E24" i="28"/>
  <c r="E31" i="28"/>
  <c r="E37" i="28"/>
  <c r="H24" i="28"/>
  <c r="H31" i="28"/>
  <c r="H40" i="28" s="1"/>
  <c r="H37" i="28"/>
  <c r="L24" i="28"/>
  <c r="L31" i="28"/>
  <c r="L37" i="28"/>
  <c r="Q24" i="28"/>
  <c r="Q31" i="28"/>
  <c r="Q37" i="28"/>
  <c r="Q40" i="28" s="1"/>
  <c r="W24" i="28"/>
  <c r="W31" i="28"/>
  <c r="W37" i="28"/>
  <c r="W40" i="28" s="1"/>
  <c r="AB24" i="28"/>
  <c r="AB31" i="28"/>
  <c r="AB37" i="28"/>
  <c r="AB40" i="28" s="1"/>
  <c r="AI24" i="28"/>
  <c r="AI31" i="28"/>
  <c r="AI37" i="28"/>
  <c r="AN21" i="28"/>
  <c r="AN24" i="28"/>
  <c r="AN31" i="28"/>
  <c r="AN37" i="28"/>
  <c r="AO24" i="24"/>
  <c r="AO15" i="24"/>
  <c r="H20" i="22"/>
  <c r="H24" i="22"/>
  <c r="H36" i="22"/>
  <c r="H31" i="22" s="1"/>
  <c r="H38" i="22"/>
  <c r="M24" i="22"/>
  <c r="M36" i="22"/>
  <c r="M31" i="22" s="1"/>
  <c r="M38" i="22"/>
  <c r="R24" i="22"/>
  <c r="R36" i="22"/>
  <c r="R31" i="22"/>
  <c r="R38" i="22"/>
  <c r="X24" i="22"/>
  <c r="X36" i="22"/>
  <c r="X31" i="22" s="1"/>
  <c r="X38" i="22"/>
  <c r="AC24" i="22"/>
  <c r="AC36" i="22"/>
  <c r="AC31" i="22" s="1"/>
  <c r="AC41" i="22" s="1"/>
  <c r="AC38" i="22"/>
  <c r="AJ24" i="22"/>
  <c r="AJ36" i="22"/>
  <c r="AJ31" i="22" s="1"/>
  <c r="AJ41" i="22" s="1"/>
  <c r="AJ38" i="22"/>
  <c r="AO24" i="22"/>
  <c r="AO38" i="22"/>
  <c r="AJ22" i="22"/>
  <c r="AI35" i="20"/>
  <c r="AI31" i="20" s="1"/>
  <c r="AI37" i="20"/>
  <c r="AI24" i="20"/>
  <c r="AI22" i="20"/>
  <c r="AI12" i="20"/>
  <c r="AI13" i="20"/>
  <c r="AN15" i="25"/>
  <c r="AN16" i="25" s="1"/>
  <c r="AO15" i="22"/>
  <c r="AO16" i="22"/>
  <c r="AN9" i="28"/>
  <c r="AI22" i="28"/>
  <c r="AN15" i="28"/>
  <c r="AN17" i="28" s="1"/>
  <c r="AI9" i="28"/>
  <c r="AI12" i="28"/>
  <c r="AN9" i="25"/>
  <c r="AI12" i="25"/>
  <c r="AI13" i="25" s="1"/>
  <c r="AI9" i="25"/>
  <c r="AJ9" i="24"/>
  <c r="AJ12" i="24"/>
  <c r="AO16" i="24"/>
  <c r="AJ9" i="22"/>
  <c r="AO9" i="22"/>
  <c r="AN15" i="20"/>
  <c r="AI9" i="20"/>
  <c r="AM24" i="20"/>
  <c r="AN22" i="22"/>
  <c r="X22" i="22"/>
  <c r="AM22" i="28"/>
  <c r="AM12" i="28"/>
  <c r="AM13" i="28" s="1"/>
  <c r="AM9" i="28"/>
  <c r="AM24" i="28"/>
  <c r="AM31" i="28"/>
  <c r="AM37" i="28"/>
  <c r="AM24" i="25"/>
  <c r="AM31" i="25"/>
  <c r="AM37" i="25"/>
  <c r="AM22" i="25"/>
  <c r="AI22" i="25"/>
  <c r="AM12" i="25"/>
  <c r="AM13" i="25" s="1"/>
  <c r="AM9" i="25"/>
  <c r="AN24" i="24"/>
  <c r="AN31" i="24"/>
  <c r="AN38" i="24"/>
  <c r="AN22" i="24"/>
  <c r="AN12" i="24"/>
  <c r="AN13" i="24" s="1"/>
  <c r="AM35" i="20"/>
  <c r="AM31" i="20"/>
  <c r="AM37" i="20"/>
  <c r="AM22" i="20"/>
  <c r="AN24" i="22"/>
  <c r="AN36" i="22"/>
  <c r="AN31" i="22" s="1"/>
  <c r="AN41" i="22" s="1"/>
  <c r="AN38" i="22"/>
  <c r="AM24" i="22"/>
  <c r="AM36" i="22"/>
  <c r="AM31" i="22" s="1"/>
  <c r="AM38" i="22"/>
  <c r="AN12" i="22"/>
  <c r="AN13" i="22" s="1"/>
  <c r="AJ12" i="22"/>
  <c r="AJ13" i="22" s="1"/>
  <c r="AN9" i="22"/>
  <c r="AM12" i="20"/>
  <c r="AM13" i="20" s="1"/>
  <c r="AM9" i="20"/>
  <c r="AB24" i="20"/>
  <c r="X24" i="20"/>
  <c r="R23" i="20"/>
  <c r="B24" i="20"/>
  <c r="B27" i="20" s="1"/>
  <c r="B35" i="20"/>
  <c r="B31" i="20"/>
  <c r="B37" i="20"/>
  <c r="C24" i="20"/>
  <c r="C35" i="20"/>
  <c r="C31" i="20"/>
  <c r="C40" i="20" s="1"/>
  <c r="C37" i="20"/>
  <c r="D24" i="20"/>
  <c r="D35" i="20"/>
  <c r="D31" i="20" s="1"/>
  <c r="D40" i="20" s="1"/>
  <c r="D37" i="20"/>
  <c r="E24" i="20"/>
  <c r="E35" i="20"/>
  <c r="E31" i="20" s="1"/>
  <c r="E40" i="20" s="1"/>
  <c r="E37" i="20"/>
  <c r="H24" i="20"/>
  <c r="H35" i="20"/>
  <c r="H31" i="20" s="1"/>
  <c r="H37" i="20"/>
  <c r="M24" i="20"/>
  <c r="M35" i="20"/>
  <c r="M31" i="20" s="1"/>
  <c r="M40" i="20" s="1"/>
  <c r="M37" i="20"/>
  <c r="R24" i="20"/>
  <c r="AK24" i="20"/>
  <c r="AK35" i="20"/>
  <c r="AK31" i="20" s="1"/>
  <c r="AK40" i="20" s="1"/>
  <c r="AK37" i="20"/>
  <c r="R22" i="24"/>
  <c r="X22" i="24"/>
  <c r="AL22" i="24"/>
  <c r="AJ22" i="24"/>
  <c r="AM22" i="24"/>
  <c r="AC22" i="24"/>
  <c r="AL35" i="20"/>
  <c r="AL31" i="20"/>
  <c r="AL40" i="20" s="1"/>
  <c r="AL24" i="28"/>
  <c r="AL31" i="28"/>
  <c r="AL37" i="28"/>
  <c r="AL22" i="28"/>
  <c r="AL12" i="28"/>
  <c r="AL13" i="28"/>
  <c r="AL24" i="25"/>
  <c r="AL31" i="25"/>
  <c r="AL37" i="25"/>
  <c r="AL22" i="25"/>
  <c r="AL12" i="25"/>
  <c r="AL13" i="25" s="1"/>
  <c r="AM24" i="24"/>
  <c r="AM31" i="24"/>
  <c r="AM38" i="24"/>
  <c r="AM12" i="24"/>
  <c r="AM13" i="24" s="1"/>
  <c r="AM12" i="22"/>
  <c r="AM13" i="22" s="1"/>
  <c r="AL37" i="20"/>
  <c r="AL12" i="20"/>
  <c r="AL13" i="20" s="1"/>
  <c r="AL22" i="20"/>
  <c r="AL24" i="22"/>
  <c r="AL36" i="22"/>
  <c r="AL31" i="22" s="1"/>
  <c r="AL38" i="22"/>
  <c r="AM22" i="22"/>
  <c r="AL24" i="20"/>
  <c r="AH31" i="28"/>
  <c r="AH37" i="28"/>
  <c r="AG31" i="28"/>
  <c r="AG37" i="28"/>
  <c r="AG40" i="28" s="1"/>
  <c r="AF31" i="28"/>
  <c r="AF37" i="28"/>
  <c r="AF40" i="28" s="1"/>
  <c r="AE31" i="28"/>
  <c r="AE37" i="28"/>
  <c r="AD31" i="28"/>
  <c r="AD40" i="28"/>
  <c r="AD37" i="28"/>
  <c r="AC31" i="28"/>
  <c r="AC37" i="28"/>
  <c r="AC40" i="28" s="1"/>
  <c r="AA31" i="28"/>
  <c r="AA40" i="28" s="1"/>
  <c r="AA37" i="28"/>
  <c r="Z31" i="28"/>
  <c r="Z37" i="28"/>
  <c r="Z40" i="28" s="1"/>
  <c r="Y31" i="28"/>
  <c r="Y37" i="28"/>
  <c r="Y40" i="28"/>
  <c r="X31" i="28"/>
  <c r="X40" i="28" s="1"/>
  <c r="X37" i="28"/>
  <c r="V31" i="28"/>
  <c r="V37" i="28"/>
  <c r="V40" i="28" s="1"/>
  <c r="U31" i="28"/>
  <c r="U37" i="28"/>
  <c r="U40" i="28"/>
  <c r="T31" i="28"/>
  <c r="T40" i="28" s="1"/>
  <c r="T37" i="28"/>
  <c r="S31" i="28"/>
  <c r="S37" i="28"/>
  <c r="R31" i="28"/>
  <c r="R37" i="28"/>
  <c r="AA24" i="28"/>
  <c r="AA27" i="28"/>
  <c r="AA42" i="28" s="1"/>
  <c r="Z24" i="28"/>
  <c r="Z27" i="28" s="1"/>
  <c r="Y24" i="28"/>
  <c r="Y27" i="28"/>
  <c r="Y42" i="28" s="1"/>
  <c r="X24" i="28"/>
  <c r="X27" i="28" s="1"/>
  <c r="V24" i="28"/>
  <c r="V27" i="28"/>
  <c r="U24" i="28"/>
  <c r="U27" i="28" s="1"/>
  <c r="U42" i="28" s="1"/>
  <c r="T24" i="28"/>
  <c r="T27" i="28" s="1"/>
  <c r="S24" i="28"/>
  <c r="S27" i="28"/>
  <c r="R24" i="28"/>
  <c r="R27" i="28" s="1"/>
  <c r="P24" i="28"/>
  <c r="P27" i="28"/>
  <c r="P42" i="28" s="1"/>
  <c r="O24" i="28"/>
  <c r="O27" i="28" s="1"/>
  <c r="O42" i="28" s="1"/>
  <c r="N24" i="28"/>
  <c r="N27" i="28"/>
  <c r="N42" i="28" s="1"/>
  <c r="M24" i="28"/>
  <c r="M27" i="28" s="1"/>
  <c r="M42" i="28" s="1"/>
  <c r="K24" i="28"/>
  <c r="K27" i="28" s="1"/>
  <c r="K42" i="28" s="1"/>
  <c r="J24" i="28"/>
  <c r="J27" i="28" s="1"/>
  <c r="J42" i="28" s="1"/>
  <c r="I24" i="28"/>
  <c r="I27" i="28"/>
  <c r="I42" i="28" s="1"/>
  <c r="G24" i="28"/>
  <c r="G27" i="28" s="1"/>
  <c r="G31" i="28"/>
  <c r="G37" i="28"/>
  <c r="F24" i="28"/>
  <c r="F27" i="28" s="1"/>
  <c r="F31" i="28"/>
  <c r="F37" i="28"/>
  <c r="F40" i="28" s="1"/>
  <c r="P31" i="28"/>
  <c r="O31" i="28"/>
  <c r="N31" i="28"/>
  <c r="M31" i="28"/>
  <c r="K31" i="28"/>
  <c r="J31" i="28"/>
  <c r="I31" i="28"/>
  <c r="P37" i="28"/>
  <c r="O37" i="28"/>
  <c r="N37" i="28"/>
  <c r="M37" i="28"/>
  <c r="K37" i="28"/>
  <c r="J37" i="28"/>
  <c r="I37" i="28"/>
  <c r="AH24" i="28"/>
  <c r="AH24" i="33" s="1"/>
  <c r="AG24" i="28"/>
  <c r="AG27" i="28" s="1"/>
  <c r="AF24" i="28"/>
  <c r="AE24" i="28"/>
  <c r="AD24" i="28"/>
  <c r="AC24" i="28"/>
  <c r="AH24" i="25"/>
  <c r="AH31" i="25"/>
  <c r="AH40" i="25" s="1"/>
  <c r="AH37" i="25"/>
  <c r="AG24" i="25"/>
  <c r="AG27" i="25" s="1"/>
  <c r="AG31" i="25"/>
  <c r="AG37" i="25"/>
  <c r="AF24" i="25"/>
  <c r="AF27" i="25" s="1"/>
  <c r="AF31" i="25"/>
  <c r="AF37" i="25"/>
  <c r="AE24" i="25"/>
  <c r="AE27" i="25" s="1"/>
  <c r="AE31" i="25"/>
  <c r="AE37" i="25"/>
  <c r="AE40" i="25"/>
  <c r="AD24" i="25"/>
  <c r="AD31" i="25"/>
  <c r="AD37" i="25"/>
  <c r="AD40" i="25"/>
  <c r="AC24" i="25"/>
  <c r="AC27" i="25" s="1"/>
  <c r="AC31" i="25"/>
  <c r="AC37" i="25"/>
  <c r="AA24" i="25"/>
  <c r="AA27" i="25" s="1"/>
  <c r="AA31" i="25"/>
  <c r="AA37" i="25"/>
  <c r="Z24" i="25"/>
  <c r="Z27" i="25"/>
  <c r="Z31" i="25"/>
  <c r="Z37" i="25"/>
  <c r="Y24" i="25"/>
  <c r="Y27" i="25" s="1"/>
  <c r="Y31" i="25"/>
  <c r="Y40" i="25" s="1"/>
  <c r="Y37" i="25"/>
  <c r="X24" i="25"/>
  <c r="X27" i="25" s="1"/>
  <c r="X31" i="25"/>
  <c r="X37" i="25"/>
  <c r="V24" i="25"/>
  <c r="V27" i="25"/>
  <c r="V31" i="25"/>
  <c r="V40" i="25"/>
  <c r="V42" i="25" s="1"/>
  <c r="V37" i="25"/>
  <c r="U24" i="25"/>
  <c r="U31" i="25"/>
  <c r="U37" i="25"/>
  <c r="U40" i="25" s="1"/>
  <c r="T24" i="25"/>
  <c r="T27" i="25" s="1"/>
  <c r="T31" i="25"/>
  <c r="T37" i="25"/>
  <c r="S24" i="25"/>
  <c r="S27" i="25" s="1"/>
  <c r="S31" i="25"/>
  <c r="S40" i="25" s="1"/>
  <c r="S37" i="25"/>
  <c r="R24" i="25"/>
  <c r="R27" i="25" s="1"/>
  <c r="R31" i="25"/>
  <c r="R40" i="25" s="1"/>
  <c r="R37" i="25"/>
  <c r="P24" i="25"/>
  <c r="P27" i="25" s="1"/>
  <c r="P42" i="25" s="1"/>
  <c r="P31" i="25"/>
  <c r="P37" i="25"/>
  <c r="O24" i="25"/>
  <c r="O27" i="25" s="1"/>
  <c r="O42" i="25" s="1"/>
  <c r="O31" i="25"/>
  <c r="O40" i="25" s="1"/>
  <c r="O37" i="25"/>
  <c r="N24" i="25"/>
  <c r="N27" i="25" s="1"/>
  <c r="N31" i="25"/>
  <c r="N40" i="25" s="1"/>
  <c r="N37" i="25"/>
  <c r="M24" i="25"/>
  <c r="M27" i="25" s="1"/>
  <c r="M31" i="25"/>
  <c r="M37" i="25"/>
  <c r="K24" i="25"/>
  <c r="K27" i="25" s="1"/>
  <c r="K31" i="25"/>
  <c r="K37" i="25"/>
  <c r="J24" i="25"/>
  <c r="J27" i="25" s="1"/>
  <c r="J42" i="25" s="1"/>
  <c r="J31" i="25"/>
  <c r="J40" i="25" s="1"/>
  <c r="J37" i="25"/>
  <c r="I24" i="25"/>
  <c r="I27" i="25" s="1"/>
  <c r="I31" i="25"/>
  <c r="I40" i="25" s="1"/>
  <c r="I37" i="25"/>
  <c r="G24" i="25"/>
  <c r="G31" i="25"/>
  <c r="G37" i="25"/>
  <c r="F24" i="25"/>
  <c r="F27" i="25" s="1"/>
  <c r="F31" i="25"/>
  <c r="F37" i="25"/>
  <c r="F40" i="25"/>
  <c r="AB24" i="24"/>
  <c r="AB27" i="24" s="1"/>
  <c r="AA24" i="24"/>
  <c r="AA27" i="24" s="1"/>
  <c r="Z24" i="24"/>
  <c r="Z27" i="24" s="1"/>
  <c r="Y24" i="24"/>
  <c r="Y27" i="24"/>
  <c r="W24" i="24"/>
  <c r="W27" i="24"/>
  <c r="V24" i="24"/>
  <c r="V27" i="24"/>
  <c r="U24" i="24"/>
  <c r="U27" i="24"/>
  <c r="T24" i="24"/>
  <c r="T27" i="24" s="1"/>
  <c r="S24" i="24"/>
  <c r="S27" i="24" s="1"/>
  <c r="Q24" i="24"/>
  <c r="Q27" i="24"/>
  <c r="P24" i="24"/>
  <c r="P27" i="24"/>
  <c r="O24" i="24"/>
  <c r="O27" i="24"/>
  <c r="N24" i="24"/>
  <c r="N27" i="24"/>
  <c r="L24" i="24"/>
  <c r="L27" i="24" s="1"/>
  <c r="K24" i="24"/>
  <c r="K27" i="24" s="1"/>
  <c r="J24" i="24"/>
  <c r="J27" i="24"/>
  <c r="I24" i="24"/>
  <c r="I27" i="24"/>
  <c r="G24" i="24"/>
  <c r="G27" i="24" s="1"/>
  <c r="F24" i="24"/>
  <c r="F27" i="24"/>
  <c r="AI24" i="24"/>
  <c r="AI31" i="24"/>
  <c r="AI38" i="24"/>
  <c r="AH24" i="24"/>
  <c r="AH27" i="24"/>
  <c r="AH43" i="24" s="1"/>
  <c r="AH31" i="24"/>
  <c r="AH38" i="24"/>
  <c r="AH41" i="24" s="1"/>
  <c r="AG24" i="24"/>
  <c r="AG27" i="24" s="1"/>
  <c r="AG43" i="24" s="1"/>
  <c r="AG31" i="24"/>
  <c r="AG38" i="24"/>
  <c r="AG41" i="24"/>
  <c r="AF43" i="24"/>
  <c r="AE43" i="24"/>
  <c r="AD43" i="24"/>
  <c r="AB31" i="24"/>
  <c r="AB38" i="24"/>
  <c r="AA31" i="24"/>
  <c r="AA38" i="24"/>
  <c r="AA41" i="24" s="1"/>
  <c r="Z31" i="24"/>
  <c r="Z41" i="24" s="1"/>
  <c r="Z38" i="24"/>
  <c r="Y31" i="24"/>
  <c r="Y38" i="24"/>
  <c r="W31" i="24"/>
  <c r="W41" i="24" s="1"/>
  <c r="W38" i="24"/>
  <c r="V31" i="24"/>
  <c r="V38" i="24"/>
  <c r="V41" i="24" s="1"/>
  <c r="V43" i="24" s="1"/>
  <c r="U31" i="24"/>
  <c r="U38" i="24"/>
  <c r="U41" i="24" s="1"/>
  <c r="T31" i="24"/>
  <c r="T38" i="24"/>
  <c r="T41" i="24" s="1"/>
  <c r="S31" i="24"/>
  <c r="S38" i="24"/>
  <c r="Q31" i="24"/>
  <c r="Q38" i="24"/>
  <c r="P31" i="24"/>
  <c r="P38" i="24"/>
  <c r="O31" i="24"/>
  <c r="O41" i="24"/>
  <c r="O38" i="24"/>
  <c r="N31" i="24"/>
  <c r="N38" i="24"/>
  <c r="N41" i="24" s="1"/>
  <c r="L31" i="24"/>
  <c r="L41" i="24" s="1"/>
  <c r="L38" i="24"/>
  <c r="K31" i="24"/>
  <c r="K38" i="24"/>
  <c r="J31" i="24"/>
  <c r="J41" i="24" s="1"/>
  <c r="J43" i="24" s="1"/>
  <c r="J38" i="24"/>
  <c r="I31" i="24"/>
  <c r="I38" i="24"/>
  <c r="G31" i="24"/>
  <c r="G38" i="24"/>
  <c r="G41" i="24" s="1"/>
  <c r="F31" i="24"/>
  <c r="F41" i="24" s="1"/>
  <c r="F43" i="24" s="1"/>
  <c r="F38" i="24"/>
  <c r="AF38" i="24"/>
  <c r="AE38" i="24"/>
  <c r="AD38" i="24"/>
  <c r="AL31" i="24"/>
  <c r="AB36" i="22"/>
  <c r="AB31" i="22" s="1"/>
  <c r="AB41" i="22" s="1"/>
  <c r="AA36" i="22"/>
  <c r="AA31" i="22"/>
  <c r="Z36" i="22"/>
  <c r="Z31" i="22" s="1"/>
  <c r="Y36" i="22"/>
  <c r="Y31" i="22" s="1"/>
  <c r="Y41" i="22" s="1"/>
  <c r="W36" i="22"/>
  <c r="W31" i="22"/>
  <c r="W41" i="22" s="1"/>
  <c r="V36" i="22"/>
  <c r="V31" i="22" s="1"/>
  <c r="V41" i="22" s="1"/>
  <c r="U36" i="22"/>
  <c r="U31" i="22"/>
  <c r="T36" i="22"/>
  <c r="T31" i="22" s="1"/>
  <c r="T41" i="22" s="1"/>
  <c r="S36" i="22"/>
  <c r="S31" i="22" s="1"/>
  <c r="S41" i="22" s="1"/>
  <c r="Q36" i="22"/>
  <c r="Q31" i="22"/>
  <c r="P36" i="22"/>
  <c r="P31" i="22" s="1"/>
  <c r="O36" i="22"/>
  <c r="O31" i="22" s="1"/>
  <c r="O41" i="22" s="1"/>
  <c r="N36" i="22"/>
  <c r="N31" i="22" s="1"/>
  <c r="L36" i="22"/>
  <c r="L31" i="22"/>
  <c r="K36" i="22"/>
  <c r="K31" i="22" s="1"/>
  <c r="J36" i="22"/>
  <c r="J31" i="22" s="1"/>
  <c r="I36" i="22"/>
  <c r="I31" i="22"/>
  <c r="I41" i="22" s="1"/>
  <c r="G36" i="22"/>
  <c r="G31" i="22" s="1"/>
  <c r="G41" i="22" s="1"/>
  <c r="F36" i="22"/>
  <c r="F31" i="22" s="1"/>
  <c r="E36" i="22"/>
  <c r="E31" i="22"/>
  <c r="E41" i="22" s="1"/>
  <c r="D36" i="22"/>
  <c r="D31" i="22" s="1"/>
  <c r="C36" i="22"/>
  <c r="C31" i="22"/>
  <c r="C41" i="22" s="1"/>
  <c r="B36" i="22"/>
  <c r="B31" i="22" s="1"/>
  <c r="B41" i="22" s="1"/>
  <c r="D24" i="22"/>
  <c r="B38" i="22"/>
  <c r="B24" i="22"/>
  <c r="B27" i="22" s="1"/>
  <c r="C24" i="22"/>
  <c r="C38" i="22"/>
  <c r="D38" i="22"/>
  <c r="AI38" i="22"/>
  <c r="AH38" i="22"/>
  <c r="AG38" i="22"/>
  <c r="AF38" i="22"/>
  <c r="AE38" i="22"/>
  <c r="AD38" i="22"/>
  <c r="AB38" i="22"/>
  <c r="AA38" i="22"/>
  <c r="Z38" i="22"/>
  <c r="Y38" i="22"/>
  <c r="W38" i="22"/>
  <c r="V38" i="22"/>
  <c r="U38" i="22"/>
  <c r="T38" i="22"/>
  <c r="S38" i="22"/>
  <c r="Q38" i="22"/>
  <c r="P38" i="22"/>
  <c r="O38" i="22"/>
  <c r="N38" i="22"/>
  <c r="L38" i="22"/>
  <c r="K38" i="22"/>
  <c r="J38" i="22"/>
  <c r="I38" i="22"/>
  <c r="G38" i="22"/>
  <c r="F38" i="22"/>
  <c r="E38" i="22"/>
  <c r="AI24" i="22"/>
  <c r="AI36" i="22"/>
  <c r="AI31" i="22" s="1"/>
  <c r="AH36" i="22"/>
  <c r="AH36" i="30" s="1"/>
  <c r="AH24" i="22"/>
  <c r="AH27" i="22" s="1"/>
  <c r="AG36" i="22"/>
  <c r="AG31" i="22" s="1"/>
  <c r="AG41" i="22" s="1"/>
  <c r="AG24" i="22"/>
  <c r="AG27" i="22" s="1"/>
  <c r="AF31" i="22"/>
  <c r="AF41" i="22" s="1"/>
  <c r="AF24" i="22"/>
  <c r="AF27" i="22"/>
  <c r="AE31" i="22"/>
  <c r="AE24" i="22"/>
  <c r="AE27" i="22" s="1"/>
  <c r="AD31" i="22"/>
  <c r="AD41" i="22"/>
  <c r="AD24" i="22"/>
  <c r="AD27" i="22" s="1"/>
  <c r="AD43" i="22" s="1"/>
  <c r="AB24" i="22"/>
  <c r="AB27" i="22" s="1"/>
  <c r="AB43" i="22" s="1"/>
  <c r="AA24" i="22"/>
  <c r="AA27" i="22" s="1"/>
  <c r="Z24" i="22"/>
  <c r="Z27" i="22" s="1"/>
  <c r="Y24" i="22"/>
  <c r="Y27" i="22" s="1"/>
  <c r="W24" i="22"/>
  <c r="W27" i="22" s="1"/>
  <c r="V24" i="22"/>
  <c r="V27" i="22" s="1"/>
  <c r="U24" i="22"/>
  <c r="U27" i="22"/>
  <c r="T24" i="22"/>
  <c r="T27" i="22" s="1"/>
  <c r="S24" i="22"/>
  <c r="S27" i="22" s="1"/>
  <c r="Q24" i="22"/>
  <c r="Q27" i="22"/>
  <c r="P24" i="22"/>
  <c r="P27" i="22" s="1"/>
  <c r="O24" i="22"/>
  <c r="O27" i="22" s="1"/>
  <c r="N24" i="22"/>
  <c r="N27" i="22" s="1"/>
  <c r="L24" i="22"/>
  <c r="L27" i="22" s="1"/>
  <c r="K24" i="22"/>
  <c r="K27" i="22"/>
  <c r="J24" i="22"/>
  <c r="J27" i="22"/>
  <c r="I24" i="22"/>
  <c r="I27" i="22" s="1"/>
  <c r="G24" i="22"/>
  <c r="G27" i="22" s="1"/>
  <c r="F24" i="22"/>
  <c r="F27" i="22" s="1"/>
  <c r="E24" i="22"/>
  <c r="AC51" i="22"/>
  <c r="AC22" i="22"/>
  <c r="AB22" i="22"/>
  <c r="AA22" i="22"/>
  <c r="Z22" i="22"/>
  <c r="Y22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B12" i="22" s="1"/>
  <c r="B13" i="22" s="1"/>
  <c r="AA24" i="20"/>
  <c r="Z24" i="20"/>
  <c r="Z27" i="20" s="1"/>
  <c r="Y24" i="20"/>
  <c r="X22" i="20"/>
  <c r="W22" i="20"/>
  <c r="V22" i="20"/>
  <c r="U22" i="20"/>
  <c r="T22" i="20"/>
  <c r="S22" i="20"/>
  <c r="R22" i="20"/>
  <c r="Q22" i="20"/>
  <c r="P22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AH37" i="20"/>
  <c r="AG37" i="20"/>
  <c r="AF37" i="20"/>
  <c r="AE37" i="20"/>
  <c r="AD37" i="20"/>
  <c r="AC37" i="20"/>
  <c r="AB37" i="20"/>
  <c r="AA37" i="20"/>
  <c r="Z37" i="20"/>
  <c r="Y37" i="20"/>
  <c r="X37" i="20"/>
  <c r="W37" i="20"/>
  <c r="V37" i="20"/>
  <c r="U37" i="20"/>
  <c r="T37" i="20"/>
  <c r="S37" i="20"/>
  <c r="R37" i="20"/>
  <c r="Q37" i="20"/>
  <c r="P37" i="20"/>
  <c r="O37" i="20"/>
  <c r="N37" i="20"/>
  <c r="L37" i="20"/>
  <c r="K37" i="20"/>
  <c r="J37" i="20"/>
  <c r="I37" i="20"/>
  <c r="G37" i="20"/>
  <c r="F37" i="20"/>
  <c r="AH24" i="20"/>
  <c r="AG24" i="20"/>
  <c r="AG27" i="20" s="1"/>
  <c r="AF24" i="20"/>
  <c r="AE24" i="20"/>
  <c r="AE52" i="20" s="1"/>
  <c r="AD24" i="20"/>
  <c r="AC24" i="20"/>
  <c r="W24" i="20"/>
  <c r="V24" i="20"/>
  <c r="U24" i="20"/>
  <c r="T24" i="20"/>
  <c r="S24" i="20"/>
  <c r="Q24" i="20"/>
  <c r="P24" i="20"/>
  <c r="O24" i="20"/>
  <c r="N24" i="20"/>
  <c r="L24" i="20"/>
  <c r="K24" i="20"/>
  <c r="J24" i="20"/>
  <c r="I24" i="20"/>
  <c r="G24" i="20"/>
  <c r="G27" i="20" s="1"/>
  <c r="G42" i="20" s="1"/>
  <c r="G52" i="20" s="1"/>
  <c r="F24" i="20"/>
  <c r="F27" i="20" s="1"/>
  <c r="AH35" i="20"/>
  <c r="AG35" i="20"/>
  <c r="AF35" i="20"/>
  <c r="AF31" i="20" s="1"/>
  <c r="AF40" i="20" s="1"/>
  <c r="AE35" i="20"/>
  <c r="AE31" i="20" s="1"/>
  <c r="AD35" i="20"/>
  <c r="AD31" i="20" s="1"/>
  <c r="AD52" i="20" s="1"/>
  <c r="AC35" i="20"/>
  <c r="AC31" i="20" s="1"/>
  <c r="AB35" i="20"/>
  <c r="AB31" i="20" s="1"/>
  <c r="AA35" i="20"/>
  <c r="AA31" i="20" s="1"/>
  <c r="AA40" i="20" s="1"/>
  <c r="Z35" i="20"/>
  <c r="Z31" i="20" s="1"/>
  <c r="Y35" i="20"/>
  <c r="Y31" i="20" s="1"/>
  <c r="Y40" i="20"/>
  <c r="X35" i="20"/>
  <c r="X31" i="20"/>
  <c r="X40" i="20" s="1"/>
  <c r="W35" i="20"/>
  <c r="W31" i="20" s="1"/>
  <c r="W40" i="20" s="1"/>
  <c r="W42" i="20" s="1"/>
  <c r="V35" i="20"/>
  <c r="V31" i="20" s="1"/>
  <c r="U35" i="20"/>
  <c r="U31" i="20" s="1"/>
  <c r="T35" i="20"/>
  <c r="T31" i="20" s="1"/>
  <c r="T40" i="20" s="1"/>
  <c r="T42" i="20" s="1"/>
  <c r="S35" i="20"/>
  <c r="S31" i="20" s="1"/>
  <c r="S40" i="20" s="1"/>
  <c r="S42" i="20" s="1"/>
  <c r="S46" i="20" s="1"/>
  <c r="R35" i="20"/>
  <c r="Q35" i="20"/>
  <c r="Q31" i="20" s="1"/>
  <c r="P35" i="20"/>
  <c r="P31" i="20" s="1"/>
  <c r="O35" i="20"/>
  <c r="O31" i="20" s="1"/>
  <c r="N35" i="20"/>
  <c r="L35" i="20"/>
  <c r="L31" i="20" s="1"/>
  <c r="L40" i="20" s="1"/>
  <c r="L42" i="20" s="1"/>
  <c r="L46" i="20" s="1"/>
  <c r="K35" i="20"/>
  <c r="K31" i="20"/>
  <c r="J35" i="20"/>
  <c r="J31" i="20"/>
  <c r="I35" i="20"/>
  <c r="I31" i="20"/>
  <c r="I40" i="20" s="1"/>
  <c r="G35" i="20"/>
  <c r="G31" i="20"/>
  <c r="G40" i="20" s="1"/>
  <c r="F35" i="20"/>
  <c r="F31" i="20" s="1"/>
  <c r="AG31" i="20"/>
  <c r="AG40" i="20" s="1"/>
  <c r="R31" i="20"/>
  <c r="N31" i="20"/>
  <c r="N40" i="20" s="1"/>
  <c r="N42" i="20" s="1"/>
  <c r="N46" i="20" s="1"/>
  <c r="G9" i="20"/>
  <c r="F9" i="20"/>
  <c r="E9" i="20"/>
  <c r="D9" i="20"/>
  <c r="C9" i="20"/>
  <c r="B9" i="20"/>
  <c r="AC9" i="22"/>
  <c r="AB9" i="22"/>
  <c r="AA9" i="22"/>
  <c r="Z9" i="22"/>
  <c r="Y9" i="22"/>
  <c r="X9" i="22"/>
  <c r="W9" i="22"/>
  <c r="V9" i="22"/>
  <c r="U9" i="22"/>
  <c r="T9" i="22"/>
  <c r="S9" i="22"/>
  <c r="R9" i="22"/>
  <c r="M9" i="22"/>
  <c r="AJ20" i="28"/>
  <c r="AJ10" i="28"/>
  <c r="AJ21" i="28" s="1"/>
  <c r="AJ24" i="28"/>
  <c r="AJ31" i="28"/>
  <c r="AJ37" i="28"/>
  <c r="AJ40" i="28" s="1"/>
  <c r="AK9" i="28"/>
  <c r="AK12" i="28"/>
  <c r="AK13" i="28"/>
  <c r="AK22" i="28"/>
  <c r="AK24" i="28"/>
  <c r="AK31" i="28"/>
  <c r="AK37" i="28"/>
  <c r="AK40" i="28" s="1"/>
  <c r="AH10" i="25"/>
  <c r="AH22" i="25" s="1"/>
  <c r="AH22" i="32" s="1"/>
  <c r="AJ22" i="32" s="1"/>
  <c r="AJ21" i="32" s="1"/>
  <c r="AJ10" i="25"/>
  <c r="AJ24" i="25"/>
  <c r="AJ31" i="25"/>
  <c r="AJ37" i="25"/>
  <c r="AK20" i="24"/>
  <c r="AI22" i="24"/>
  <c r="AI22" i="31" s="1"/>
  <c r="AK22" i="31" s="1"/>
  <c r="AK21" i="31" s="1"/>
  <c r="AK9" i="24"/>
  <c r="AK10" i="24" s="1"/>
  <c r="AK31" i="24"/>
  <c r="AK38" i="24"/>
  <c r="AI10" i="22"/>
  <c r="AI22" i="22" s="1"/>
  <c r="AK24" i="22"/>
  <c r="AK38" i="22"/>
  <c r="AH27" i="20"/>
  <c r="AJ10" i="20"/>
  <c r="AJ21" i="20" s="1"/>
  <c r="AJ35" i="20" s="1"/>
  <c r="AJ31" i="20" s="1"/>
  <c r="AJ40" i="20" s="1"/>
  <c r="AJ24" i="20"/>
  <c r="AJ37" i="20"/>
  <c r="AK24" i="25"/>
  <c r="AK31" i="25"/>
  <c r="AK37" i="25"/>
  <c r="AK12" i="25"/>
  <c r="AK13" i="25" s="1"/>
  <c r="AK9" i="25"/>
  <c r="AI13" i="28"/>
  <c r="AK22" i="25"/>
  <c r="AL38" i="24"/>
  <c r="AL9" i="24"/>
  <c r="AL12" i="24"/>
  <c r="AL13" i="24" s="1"/>
  <c r="AJ13" i="24"/>
  <c r="AL12" i="22"/>
  <c r="AL13" i="22"/>
  <c r="H13" i="22"/>
  <c r="AL9" i="22"/>
  <c r="AC16" i="22"/>
  <c r="AC17" i="22"/>
  <c r="AL22" i="22"/>
  <c r="AK22" i="20"/>
  <c r="AK9" i="20"/>
  <c r="AK12" i="20"/>
  <c r="AK13" i="20" s="1"/>
  <c r="AI32" i="29"/>
  <c r="AI33" i="29"/>
  <c r="AI34" i="29"/>
  <c r="AM34" i="29" s="1"/>
  <c r="AI38" i="29"/>
  <c r="AI39" i="29"/>
  <c r="AM39" i="29" s="1"/>
  <c r="AI21" i="29"/>
  <c r="AM21" i="29" s="1"/>
  <c r="AI25" i="29"/>
  <c r="AI26" i="29"/>
  <c r="AM26" i="29" s="1"/>
  <c r="AL24" i="29"/>
  <c r="AL35" i="29"/>
  <c r="AL31" i="29"/>
  <c r="AL37" i="29"/>
  <c r="AM25" i="29"/>
  <c r="AI10" i="29"/>
  <c r="AM10" i="29"/>
  <c r="AI9" i="29"/>
  <c r="AM9" i="29"/>
  <c r="AL9" i="29"/>
  <c r="AI8" i="29"/>
  <c r="AM8" i="29" s="1"/>
  <c r="AL17" i="29"/>
  <c r="AL16" i="29"/>
  <c r="AL22" i="29"/>
  <c r="AG20" i="29"/>
  <c r="AG27" i="29" s="1"/>
  <c r="AG21" i="29"/>
  <c r="AG25" i="29"/>
  <c r="AG24" i="29" s="1"/>
  <c r="AG26" i="29"/>
  <c r="AG32" i="29"/>
  <c r="AG31" i="29" s="1"/>
  <c r="AG33" i="29"/>
  <c r="AG34" i="29"/>
  <c r="AG35" i="29"/>
  <c r="AG38" i="29"/>
  <c r="AG37" i="29" s="1"/>
  <c r="AG39" i="29"/>
  <c r="AI44" i="29"/>
  <c r="AI43" i="29"/>
  <c r="P9" i="28"/>
  <c r="O9" i="28"/>
  <c r="N9" i="28"/>
  <c r="M9" i="28"/>
  <c r="R9" i="25"/>
  <c r="S9" i="25"/>
  <c r="T9" i="25"/>
  <c r="U9" i="25"/>
  <c r="V9" i="25"/>
  <c r="X9" i="25"/>
  <c r="Y9" i="25"/>
  <c r="Z9" i="25"/>
  <c r="AA9" i="25"/>
  <c r="AC9" i="25"/>
  <c r="AD9" i="25"/>
  <c r="AG9" i="25"/>
  <c r="W9" i="25"/>
  <c r="AB9" i="25"/>
  <c r="AE9" i="25"/>
  <c r="AF9" i="25"/>
  <c r="AH9" i="24"/>
  <c r="AH9" i="31" s="1"/>
  <c r="AG9" i="24"/>
  <c r="AF9" i="24"/>
  <c r="AE9" i="24"/>
  <c r="AD9" i="24"/>
  <c r="AC9" i="24"/>
  <c r="AB9" i="24"/>
  <c r="AA9" i="24"/>
  <c r="Z9" i="24"/>
  <c r="Y9" i="24"/>
  <c r="X9" i="24"/>
  <c r="W9" i="24"/>
  <c r="V9" i="24"/>
  <c r="U9" i="24"/>
  <c r="T9" i="24"/>
  <c r="S9" i="24"/>
  <c r="R9" i="24"/>
  <c r="Q9" i="24"/>
  <c r="P9" i="24"/>
  <c r="O9" i="24"/>
  <c r="N9" i="24"/>
  <c r="M9" i="24"/>
  <c r="L9" i="24"/>
  <c r="K9" i="24"/>
  <c r="J9" i="24"/>
  <c r="I9" i="24"/>
  <c r="H9" i="24"/>
  <c r="G9" i="24"/>
  <c r="F9" i="24"/>
  <c r="E9" i="24"/>
  <c r="D9" i="24"/>
  <c r="C9" i="24"/>
  <c r="B9" i="24"/>
  <c r="AE9" i="22"/>
  <c r="AD9" i="22"/>
  <c r="Q9" i="22"/>
  <c r="P9" i="22"/>
  <c r="O9" i="22"/>
  <c r="N9" i="22"/>
  <c r="L9" i="22"/>
  <c r="K9" i="22"/>
  <c r="J9" i="22"/>
  <c r="I9" i="22"/>
  <c r="H9" i="22"/>
  <c r="G9" i="22"/>
  <c r="F9" i="22"/>
  <c r="E9" i="22"/>
  <c r="D9" i="22"/>
  <c r="C9" i="22"/>
  <c r="B9" i="22"/>
  <c r="AJ37" i="29"/>
  <c r="AH9" i="20"/>
  <c r="AH9" i="29" s="1"/>
  <c r="AG9" i="20"/>
  <c r="AG9" i="29" s="1"/>
  <c r="AF9" i="20"/>
  <c r="AE9" i="20"/>
  <c r="AD9" i="20"/>
  <c r="AC9" i="20"/>
  <c r="AB9" i="20"/>
  <c r="AA9" i="20"/>
  <c r="Z9" i="20"/>
  <c r="Y9" i="20"/>
  <c r="X9" i="20"/>
  <c r="W9" i="20"/>
  <c r="V9" i="20"/>
  <c r="U9" i="20"/>
  <c r="T9" i="20"/>
  <c r="S9" i="20"/>
  <c r="R9" i="20"/>
  <c r="Q9" i="20"/>
  <c r="P9" i="20"/>
  <c r="O9" i="20"/>
  <c r="N9" i="20"/>
  <c r="M9" i="20"/>
  <c r="L9" i="20"/>
  <c r="K9" i="20"/>
  <c r="J9" i="20"/>
  <c r="I9" i="20"/>
  <c r="H9" i="20"/>
  <c r="AH26" i="32"/>
  <c r="AK26" i="32" s="1"/>
  <c r="AH25" i="32"/>
  <c r="AK25" i="32" s="1"/>
  <c r="AH33" i="33"/>
  <c r="AK33" i="33" s="1"/>
  <c r="AH34" i="33"/>
  <c r="AH35" i="33"/>
  <c r="AK35" i="33"/>
  <c r="AH36" i="33"/>
  <c r="AH32" i="33"/>
  <c r="AK32" i="33" s="1"/>
  <c r="AH39" i="33"/>
  <c r="AK39" i="33" s="1"/>
  <c r="AH38" i="33"/>
  <c r="AH37" i="33" s="1"/>
  <c r="AK37" i="33" s="1"/>
  <c r="AH26" i="33"/>
  <c r="AH25" i="33"/>
  <c r="AK25" i="33" s="1"/>
  <c r="AK9" i="31"/>
  <c r="AH8" i="33"/>
  <c r="AK8" i="33" s="1"/>
  <c r="AJ10" i="33"/>
  <c r="AJ21" i="33"/>
  <c r="AK21" i="33" s="1"/>
  <c r="AJ10" i="32"/>
  <c r="AH8" i="29"/>
  <c r="R9" i="30"/>
  <c r="AL9" i="30"/>
  <c r="AE9" i="31"/>
  <c r="AD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O9" i="31"/>
  <c r="N9" i="31"/>
  <c r="M9" i="31"/>
  <c r="L9" i="31"/>
  <c r="K9" i="31"/>
  <c r="J9" i="31"/>
  <c r="I9" i="31"/>
  <c r="H9" i="31"/>
  <c r="G9" i="31"/>
  <c r="F9" i="31"/>
  <c r="E9" i="31"/>
  <c r="D9" i="31"/>
  <c r="C9" i="31"/>
  <c r="B9" i="31"/>
  <c r="M9" i="30"/>
  <c r="G9" i="30"/>
  <c r="AH10" i="28"/>
  <c r="AH12" i="28" s="1"/>
  <c r="AH13" i="28" s="1"/>
  <c r="AG22" i="29"/>
  <c r="R9" i="29"/>
  <c r="M9" i="29"/>
  <c r="AK10" i="29"/>
  <c r="AK21" i="29"/>
  <c r="AK35" i="29"/>
  <c r="AB22" i="20"/>
  <c r="AH22" i="20"/>
  <c r="W16" i="20"/>
  <c r="V16" i="20"/>
  <c r="U16" i="20"/>
  <c r="T16" i="20"/>
  <c r="S16" i="20"/>
  <c r="Q16" i="20"/>
  <c r="P16" i="20"/>
  <c r="O16" i="20"/>
  <c r="N16" i="20"/>
  <c r="AH21" i="33"/>
  <c r="AJ24" i="33"/>
  <c r="AK24" i="33" s="1"/>
  <c r="AJ31" i="33"/>
  <c r="AJ37" i="33"/>
  <c r="AJ40" i="33"/>
  <c r="AK26" i="33"/>
  <c r="AK12" i="33"/>
  <c r="AH9" i="33"/>
  <c r="AK9" i="33" s="1"/>
  <c r="AG20" i="33"/>
  <c r="AG21" i="33"/>
  <c r="AG24" i="33"/>
  <c r="AG32" i="33"/>
  <c r="AG33" i="33"/>
  <c r="AG34" i="33"/>
  <c r="AG35" i="33"/>
  <c r="AG38" i="33"/>
  <c r="AG39" i="33"/>
  <c r="AG37" i="33" s="1"/>
  <c r="AB12" i="28"/>
  <c r="AB13" i="28" s="1"/>
  <c r="AH21" i="32"/>
  <c r="AH32" i="32"/>
  <c r="AK32" i="32" s="1"/>
  <c r="AH33" i="32"/>
  <c r="AH34" i="32"/>
  <c r="AK34" i="32" s="1"/>
  <c r="AH35" i="32"/>
  <c r="AK35" i="32" s="1"/>
  <c r="AH38" i="32"/>
  <c r="AH37" i="32" s="1"/>
  <c r="AK37" i="32" s="1"/>
  <c r="AH39" i="32"/>
  <c r="AK39" i="32"/>
  <c r="AJ24" i="32"/>
  <c r="AJ31" i="32"/>
  <c r="AJ40" i="32"/>
  <c r="AJ37" i="32"/>
  <c r="AK13" i="32"/>
  <c r="AK12" i="32"/>
  <c r="AH8" i="32"/>
  <c r="AK8" i="32" s="1"/>
  <c r="AH36" i="32"/>
  <c r="AB12" i="25"/>
  <c r="AB13" i="25"/>
  <c r="AH12" i="24"/>
  <c r="AH13" i="24" s="1"/>
  <c r="AH13" i="31" s="1"/>
  <c r="AH16" i="24"/>
  <c r="AG17" i="25"/>
  <c r="AI8" i="30"/>
  <c r="AN8" i="30" s="1"/>
  <c r="AK31" i="31"/>
  <c r="AK41" i="31"/>
  <c r="AK38" i="31"/>
  <c r="AI21" i="31"/>
  <c r="AI25" i="31"/>
  <c r="AL25" i="31" s="1"/>
  <c r="AI26" i="31"/>
  <c r="AL26" i="31" s="1"/>
  <c r="AI32" i="31"/>
  <c r="AI33" i="31"/>
  <c r="AL33" i="31" s="1"/>
  <c r="AI34" i="31"/>
  <c r="AL34" i="31" s="1"/>
  <c r="AI35" i="31"/>
  <c r="AL35" i="31" s="1"/>
  <c r="AI36" i="31"/>
  <c r="AL36" i="31" s="1"/>
  <c r="AI39" i="31"/>
  <c r="AL39" i="31" s="1"/>
  <c r="AI40" i="31"/>
  <c r="AL40" i="31" s="1"/>
  <c r="AI8" i="31"/>
  <c r="AL8" i="31" s="1"/>
  <c r="AI17" i="24"/>
  <c r="AI21" i="30"/>
  <c r="AI25" i="30"/>
  <c r="AN25" i="30" s="1"/>
  <c r="AI26" i="30"/>
  <c r="AN26" i="30" s="1"/>
  <c r="AI32" i="30"/>
  <c r="AN32" i="30" s="1"/>
  <c r="AI33" i="30"/>
  <c r="AN33" i="30" s="1"/>
  <c r="AI34" i="30"/>
  <c r="AN34" i="30" s="1"/>
  <c r="AI35" i="30"/>
  <c r="AN35" i="30" s="1"/>
  <c r="AI39" i="30"/>
  <c r="AI38" i="30" s="1"/>
  <c r="AN38" i="30" s="1"/>
  <c r="AI40" i="30"/>
  <c r="AN40" i="30" s="1"/>
  <c r="AL24" i="30"/>
  <c r="AL38" i="30"/>
  <c r="AN12" i="30"/>
  <c r="AI17" i="22"/>
  <c r="AH20" i="29"/>
  <c r="AH21" i="29"/>
  <c r="AH25" i="29"/>
  <c r="AH24" i="29" s="1"/>
  <c r="AH27" i="29" s="1"/>
  <c r="AH26" i="29"/>
  <c r="AH32" i="29"/>
  <c r="AH33" i="29"/>
  <c r="AH34" i="29"/>
  <c r="AH38" i="29"/>
  <c r="AH39" i="29"/>
  <c r="AH37" i="29" s="1"/>
  <c r="AK24" i="29"/>
  <c r="AK31" i="29"/>
  <c r="AK40" i="29"/>
  <c r="AK37" i="29"/>
  <c r="AH10" i="29"/>
  <c r="AH36" i="29"/>
  <c r="AH12" i="20"/>
  <c r="AH13" i="20"/>
  <c r="AH13" i="29" s="1"/>
  <c r="AH12" i="29"/>
  <c r="AJ10" i="29"/>
  <c r="AJ21" i="29"/>
  <c r="AJ35" i="29"/>
  <c r="AJ31" i="29"/>
  <c r="AJ40" i="29"/>
  <c r="AJ24" i="29"/>
  <c r="L9" i="33"/>
  <c r="Q9" i="33"/>
  <c r="W9" i="33"/>
  <c r="AB9" i="33"/>
  <c r="AG9" i="33"/>
  <c r="L9" i="32"/>
  <c r="Q9" i="32"/>
  <c r="W9" i="32"/>
  <c r="AB9" i="32"/>
  <c r="AG9" i="32"/>
  <c r="AH9" i="30"/>
  <c r="X9" i="29"/>
  <c r="AB9" i="29"/>
  <c r="AI24" i="33"/>
  <c r="AI31" i="33"/>
  <c r="AI40" i="33"/>
  <c r="AI37" i="33"/>
  <c r="AG22" i="28"/>
  <c r="AG22" i="33" s="1"/>
  <c r="AG12" i="28"/>
  <c r="AG12" i="33" s="1"/>
  <c r="AG10" i="33"/>
  <c r="AG8" i="33"/>
  <c r="AE51" i="33"/>
  <c r="AD51" i="33"/>
  <c r="AC51" i="33"/>
  <c r="AB51" i="33"/>
  <c r="AA51" i="33"/>
  <c r="Z51" i="33"/>
  <c r="Y51" i="33"/>
  <c r="X51" i="33"/>
  <c r="W51" i="33"/>
  <c r="V51" i="33"/>
  <c r="U51" i="33"/>
  <c r="T51" i="33"/>
  <c r="S51" i="33"/>
  <c r="R51" i="33"/>
  <c r="Q51" i="33"/>
  <c r="P51" i="33"/>
  <c r="O51" i="33"/>
  <c r="N51" i="33"/>
  <c r="M51" i="33"/>
  <c r="L51" i="33"/>
  <c r="K51" i="33"/>
  <c r="J51" i="33"/>
  <c r="I51" i="33"/>
  <c r="H51" i="33"/>
  <c r="G51" i="33"/>
  <c r="F51" i="33"/>
  <c r="E51" i="33"/>
  <c r="D51" i="33"/>
  <c r="C51" i="33"/>
  <c r="B51" i="33"/>
  <c r="AF24" i="33"/>
  <c r="AF27" i="33"/>
  <c r="AF31" i="33"/>
  <c r="AF37" i="33"/>
  <c r="AF40" i="33"/>
  <c r="AF42" i="33"/>
  <c r="AF22" i="33"/>
  <c r="AF12" i="33"/>
  <c r="AF13" i="33"/>
  <c r="AE12" i="33"/>
  <c r="AE13" i="33"/>
  <c r="AD12" i="33"/>
  <c r="AD13" i="33"/>
  <c r="AC12" i="33"/>
  <c r="AC13" i="33"/>
  <c r="AB12" i="33"/>
  <c r="AB13" i="33"/>
  <c r="AA12" i="33"/>
  <c r="AA13" i="33"/>
  <c r="Z12" i="33"/>
  <c r="Z13" i="33"/>
  <c r="Y12" i="33"/>
  <c r="Y13" i="33"/>
  <c r="X12" i="33"/>
  <c r="X13" i="33"/>
  <c r="W12" i="33"/>
  <c r="W13" i="33"/>
  <c r="V12" i="33"/>
  <c r="V13" i="33"/>
  <c r="U12" i="33"/>
  <c r="U13" i="33"/>
  <c r="T12" i="33"/>
  <c r="T13" i="33"/>
  <c r="S12" i="33"/>
  <c r="S13" i="33"/>
  <c r="R12" i="33"/>
  <c r="R13" i="33"/>
  <c r="Q12" i="33"/>
  <c r="Q13" i="33"/>
  <c r="L12" i="33"/>
  <c r="L13" i="33"/>
  <c r="K12" i="33"/>
  <c r="K13" i="33"/>
  <c r="J12" i="33"/>
  <c r="J13" i="33"/>
  <c r="I12" i="33"/>
  <c r="I13" i="33"/>
  <c r="H12" i="33"/>
  <c r="H13" i="33"/>
  <c r="G12" i="33"/>
  <c r="G13" i="33"/>
  <c r="F12" i="33"/>
  <c r="F13" i="33"/>
  <c r="E12" i="33"/>
  <c r="E13" i="33"/>
  <c r="D12" i="33"/>
  <c r="D13" i="33"/>
  <c r="C12" i="33"/>
  <c r="C13" i="33"/>
  <c r="B12" i="33"/>
  <c r="B13" i="33"/>
  <c r="AE9" i="33"/>
  <c r="AD9" i="33"/>
  <c r="AC9" i="33"/>
  <c r="AA9" i="33"/>
  <c r="Z9" i="33"/>
  <c r="Y9" i="33"/>
  <c r="X9" i="33"/>
  <c r="V9" i="33"/>
  <c r="U9" i="33"/>
  <c r="T9" i="33"/>
  <c r="S9" i="33"/>
  <c r="R9" i="33"/>
  <c r="K9" i="33"/>
  <c r="J9" i="33"/>
  <c r="I9" i="33"/>
  <c r="H9" i="33"/>
  <c r="G9" i="33"/>
  <c r="F9" i="33"/>
  <c r="E9" i="33"/>
  <c r="D9" i="33"/>
  <c r="C9" i="33"/>
  <c r="B9" i="33"/>
  <c r="AG17" i="28"/>
  <c r="AG16" i="28"/>
  <c r="AG32" i="32"/>
  <c r="AG20" i="32"/>
  <c r="AG21" i="32"/>
  <c r="AG24" i="32"/>
  <c r="AG33" i="32"/>
  <c r="AG34" i="32"/>
  <c r="AG35" i="32"/>
  <c r="AG38" i="32"/>
  <c r="AG39" i="32"/>
  <c r="AI24" i="32"/>
  <c r="AI31" i="32"/>
  <c r="AI37" i="32"/>
  <c r="AG12" i="25"/>
  <c r="AG12" i="32" s="1"/>
  <c r="AG10" i="32"/>
  <c r="AG8" i="32"/>
  <c r="AG22" i="25"/>
  <c r="AG22" i="32" s="1"/>
  <c r="AE51" i="32"/>
  <c r="AD51" i="32"/>
  <c r="AC51" i="32"/>
  <c r="AB51" i="32"/>
  <c r="AA51" i="32"/>
  <c r="Z51" i="32"/>
  <c r="Y51" i="32"/>
  <c r="X51" i="32"/>
  <c r="W51" i="32"/>
  <c r="V51" i="32"/>
  <c r="U51" i="32"/>
  <c r="T51" i="32"/>
  <c r="S51" i="32"/>
  <c r="R51" i="32"/>
  <c r="Q51" i="32"/>
  <c r="P51" i="32"/>
  <c r="O51" i="32"/>
  <c r="N51" i="32"/>
  <c r="M51" i="32"/>
  <c r="L51" i="32"/>
  <c r="K51" i="32"/>
  <c r="J51" i="32"/>
  <c r="I51" i="32"/>
  <c r="H51" i="32"/>
  <c r="G51" i="32"/>
  <c r="F51" i="32"/>
  <c r="E51" i="32"/>
  <c r="D51" i="32"/>
  <c r="C51" i="32"/>
  <c r="B51" i="32"/>
  <c r="AF24" i="32"/>
  <c r="AF27" i="32"/>
  <c r="AF42" i="32"/>
  <c r="AF31" i="32"/>
  <c r="AF37" i="32"/>
  <c r="AF22" i="32"/>
  <c r="AE22" i="32"/>
  <c r="AD22" i="32"/>
  <c r="AC22" i="32"/>
  <c r="AB22" i="32"/>
  <c r="AA22" i="32"/>
  <c r="Z22" i="32"/>
  <c r="Y22" i="32"/>
  <c r="X22" i="32"/>
  <c r="W22" i="32"/>
  <c r="V22" i="32"/>
  <c r="U22" i="32"/>
  <c r="T22" i="32"/>
  <c r="S22" i="32"/>
  <c r="R22" i="32"/>
  <c r="Q22" i="32"/>
  <c r="P22" i="32"/>
  <c r="O22" i="32"/>
  <c r="N22" i="32"/>
  <c r="M22" i="32"/>
  <c r="L22" i="32"/>
  <c r="K22" i="32"/>
  <c r="J22" i="32"/>
  <c r="I22" i="32"/>
  <c r="H22" i="32"/>
  <c r="G22" i="32"/>
  <c r="F22" i="32"/>
  <c r="E22" i="32"/>
  <c r="D22" i="32"/>
  <c r="C22" i="32"/>
  <c r="B22" i="32"/>
  <c r="AF17" i="32"/>
  <c r="AF16" i="32"/>
  <c r="AB12" i="32"/>
  <c r="AB13" i="32"/>
  <c r="AF12" i="32"/>
  <c r="AF13" i="32"/>
  <c r="AE12" i="32"/>
  <c r="AE13" i="32"/>
  <c r="AD12" i="32"/>
  <c r="AD13" i="32"/>
  <c r="AC12" i="32"/>
  <c r="AC13" i="32"/>
  <c r="AA12" i="32"/>
  <c r="AA13" i="32"/>
  <c r="Z12" i="32"/>
  <c r="Z13" i="32"/>
  <c r="Y12" i="32"/>
  <c r="Y13" i="32"/>
  <c r="X12" i="32"/>
  <c r="X13" i="32"/>
  <c r="W12" i="32"/>
  <c r="W13" i="32"/>
  <c r="V12" i="32"/>
  <c r="V13" i="32"/>
  <c r="U12" i="32"/>
  <c r="U13" i="32"/>
  <c r="T12" i="32"/>
  <c r="T13" i="32"/>
  <c r="S12" i="32"/>
  <c r="S13" i="32"/>
  <c r="R12" i="32"/>
  <c r="R13" i="32"/>
  <c r="Q12" i="32"/>
  <c r="Q13" i="32"/>
  <c r="P12" i="32"/>
  <c r="P13" i="32"/>
  <c r="O12" i="32"/>
  <c r="O13" i="32"/>
  <c r="N12" i="32"/>
  <c r="N13" i="32"/>
  <c r="M12" i="32"/>
  <c r="M13" i="32"/>
  <c r="L12" i="32"/>
  <c r="L13" i="32"/>
  <c r="K12" i="32"/>
  <c r="K13" i="32"/>
  <c r="J12" i="32"/>
  <c r="J13" i="32"/>
  <c r="I12" i="32"/>
  <c r="I13" i="32"/>
  <c r="H12" i="32"/>
  <c r="H13" i="32"/>
  <c r="G12" i="32"/>
  <c r="G13" i="32"/>
  <c r="F12" i="32"/>
  <c r="F13" i="32"/>
  <c r="E12" i="32"/>
  <c r="E13" i="32"/>
  <c r="D12" i="32"/>
  <c r="D13" i="32"/>
  <c r="C12" i="32"/>
  <c r="C13" i="32"/>
  <c r="B12" i="32"/>
  <c r="B13" i="32"/>
  <c r="AF9" i="32"/>
  <c r="AE9" i="32"/>
  <c r="AD9" i="32"/>
  <c r="AC9" i="32"/>
  <c r="AA9" i="32"/>
  <c r="Z9" i="32"/>
  <c r="Y9" i="32"/>
  <c r="X9" i="32"/>
  <c r="V9" i="32"/>
  <c r="U9" i="32"/>
  <c r="T9" i="32"/>
  <c r="S9" i="32"/>
  <c r="R9" i="32"/>
  <c r="P9" i="32"/>
  <c r="O9" i="32"/>
  <c r="N9" i="32"/>
  <c r="M9" i="32"/>
  <c r="K9" i="32"/>
  <c r="J9" i="32"/>
  <c r="I9" i="32"/>
  <c r="H9" i="32"/>
  <c r="G9" i="32"/>
  <c r="F9" i="32"/>
  <c r="E9" i="32"/>
  <c r="D9" i="32"/>
  <c r="C9" i="32"/>
  <c r="B9" i="32"/>
  <c r="AG16" i="25"/>
  <c r="AH20" i="31"/>
  <c r="AH21" i="31"/>
  <c r="AH25" i="31"/>
  <c r="AH26" i="31"/>
  <c r="AH32" i="31"/>
  <c r="AH33" i="31"/>
  <c r="AH31" i="31" s="1"/>
  <c r="AH34" i="31"/>
  <c r="AH35" i="31"/>
  <c r="AH36" i="31"/>
  <c r="AH39" i="31"/>
  <c r="AH38" i="31" s="1"/>
  <c r="AH40" i="31"/>
  <c r="AJ24" i="31"/>
  <c r="AJ31" i="31"/>
  <c r="AJ38" i="31"/>
  <c r="AJ41" i="31"/>
  <c r="AH10" i="31"/>
  <c r="AH8" i="31"/>
  <c r="AH22" i="24"/>
  <c r="AH22" i="31" s="1"/>
  <c r="AH8" i="30"/>
  <c r="AG24" i="31"/>
  <c r="AG31" i="31"/>
  <c r="AG41" i="31"/>
  <c r="AG38" i="31"/>
  <c r="AG27" i="31"/>
  <c r="AG43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O54" i="31"/>
  <c r="N54" i="31"/>
  <c r="M54" i="31"/>
  <c r="L54" i="31"/>
  <c r="K54" i="31"/>
  <c r="J54" i="31"/>
  <c r="I54" i="31"/>
  <c r="H54" i="31"/>
  <c r="G54" i="31"/>
  <c r="F54" i="31"/>
  <c r="E54" i="31"/>
  <c r="D54" i="31"/>
  <c r="C54" i="31"/>
  <c r="B54" i="31"/>
  <c r="AT26" i="31"/>
  <c r="AR26" i="31"/>
  <c r="AG22" i="31"/>
  <c r="AQ21" i="31"/>
  <c r="AG17" i="31"/>
  <c r="AF17" i="31"/>
  <c r="AC17" i="31"/>
  <c r="AG16" i="31"/>
  <c r="AF16" i="31"/>
  <c r="AC16" i="31"/>
  <c r="AG12" i="31"/>
  <c r="AG13" i="31"/>
  <c r="AF12" i="31"/>
  <c r="AF13" i="31"/>
  <c r="AE12" i="31"/>
  <c r="AE13" i="31"/>
  <c r="AD12" i="31"/>
  <c r="AD13" i="31"/>
  <c r="AC12" i="31"/>
  <c r="AC13" i="31"/>
  <c r="AB12" i="31"/>
  <c r="AB13" i="31"/>
  <c r="AA12" i="31"/>
  <c r="AA13" i="31"/>
  <c r="Z12" i="31"/>
  <c r="Z13" i="31"/>
  <c r="Y12" i="31"/>
  <c r="Y13" i="31"/>
  <c r="X12" i="31"/>
  <c r="X13" i="31"/>
  <c r="W12" i="31"/>
  <c r="W13" i="31"/>
  <c r="V12" i="31"/>
  <c r="V13" i="31"/>
  <c r="U12" i="31"/>
  <c r="U13" i="31"/>
  <c r="T12" i="31"/>
  <c r="T13" i="31"/>
  <c r="S12" i="31"/>
  <c r="S13" i="31"/>
  <c r="R12" i="31"/>
  <c r="R13" i="31"/>
  <c r="Q12" i="31"/>
  <c r="Q13" i="31"/>
  <c r="P12" i="31"/>
  <c r="P13" i="31"/>
  <c r="O12" i="31"/>
  <c r="O13" i="31"/>
  <c r="N12" i="31"/>
  <c r="N13" i="31"/>
  <c r="M12" i="31"/>
  <c r="M13" i="31"/>
  <c r="L12" i="31"/>
  <c r="L13" i="31"/>
  <c r="K12" i="31"/>
  <c r="K13" i="31"/>
  <c r="J12" i="31"/>
  <c r="J13" i="31"/>
  <c r="I12" i="31"/>
  <c r="I13" i="31"/>
  <c r="H12" i="31"/>
  <c r="H13" i="31"/>
  <c r="G12" i="31"/>
  <c r="G13" i="31"/>
  <c r="F12" i="31"/>
  <c r="F13" i="31"/>
  <c r="E12" i="31"/>
  <c r="E13" i="31"/>
  <c r="D12" i="31"/>
  <c r="D13" i="31"/>
  <c r="C12" i="31"/>
  <c r="C13" i="31"/>
  <c r="B12" i="31"/>
  <c r="B13" i="31"/>
  <c r="AH17" i="24"/>
  <c r="AG12" i="24"/>
  <c r="AG13" i="24"/>
  <c r="AJ36" i="30"/>
  <c r="AJ31" i="30"/>
  <c r="AJ41" i="30"/>
  <c r="AJ43" i="30"/>
  <c r="AJ38" i="30"/>
  <c r="AH20" i="30"/>
  <c r="AH21" i="30"/>
  <c r="AH25" i="30"/>
  <c r="AH26" i="30"/>
  <c r="AH32" i="30"/>
  <c r="AH33" i="30"/>
  <c r="AH34" i="30"/>
  <c r="AH35" i="30"/>
  <c r="AH31" i="30" s="1"/>
  <c r="AH39" i="30"/>
  <c r="AH40" i="30"/>
  <c r="AJ24" i="30"/>
  <c r="AH12" i="22"/>
  <c r="AH12" i="30" s="1"/>
  <c r="AH10" i="30"/>
  <c r="AH22" i="22"/>
  <c r="AH22" i="30" s="1"/>
  <c r="AF27" i="30"/>
  <c r="AF43" i="30"/>
  <c r="AF52" i="30"/>
  <c r="AE52" i="30"/>
  <c r="AD52" i="30"/>
  <c r="AC52" i="30"/>
  <c r="AB52" i="30"/>
  <c r="AA52" i="30"/>
  <c r="Z52" i="30"/>
  <c r="Y52" i="30"/>
  <c r="X52" i="30"/>
  <c r="W52" i="30"/>
  <c r="V52" i="30"/>
  <c r="U52" i="30"/>
  <c r="T52" i="30"/>
  <c r="S52" i="30"/>
  <c r="R52" i="30"/>
  <c r="Q52" i="30"/>
  <c r="P52" i="30"/>
  <c r="O52" i="30"/>
  <c r="N52" i="30"/>
  <c r="M52" i="30"/>
  <c r="L50" i="30"/>
  <c r="K50" i="30"/>
  <c r="J50" i="30"/>
  <c r="I50" i="30"/>
  <c r="H50" i="30"/>
  <c r="G50" i="30"/>
  <c r="F50" i="30"/>
  <c r="E50" i="30"/>
  <c r="D50" i="30"/>
  <c r="C50" i="30"/>
  <c r="B50" i="30"/>
  <c r="AG24" i="30"/>
  <c r="AG27" i="30"/>
  <c r="AG36" i="30"/>
  <c r="AG31" i="30"/>
  <c r="AG41" i="30"/>
  <c r="AG38" i="30"/>
  <c r="AG22" i="30"/>
  <c r="AF17" i="30"/>
  <c r="AC17" i="30"/>
  <c r="AF16" i="30"/>
  <c r="AC16" i="30"/>
  <c r="AG12" i="30"/>
  <c r="AG13" i="30"/>
  <c r="AF13" i="30"/>
  <c r="AE13" i="30"/>
  <c r="AD13" i="30"/>
  <c r="AC13" i="30"/>
  <c r="AB13" i="30"/>
  <c r="AA13" i="30"/>
  <c r="Z13" i="30"/>
  <c r="Y13" i="30"/>
  <c r="X13" i="30"/>
  <c r="W13" i="30"/>
  <c r="V13" i="30"/>
  <c r="U13" i="30"/>
  <c r="T13" i="30"/>
  <c r="S13" i="30"/>
  <c r="R13" i="30"/>
  <c r="M13" i="30"/>
  <c r="B12" i="30"/>
  <c r="B13" i="30"/>
  <c r="AH17" i="22"/>
  <c r="AH16" i="22"/>
  <c r="AG10" i="29"/>
  <c r="AG8" i="29"/>
  <c r="AG36" i="29"/>
  <c r="AG17" i="20"/>
  <c r="AG17" i="29" s="1"/>
  <c r="AG16" i="20"/>
  <c r="AG16" i="29" s="1"/>
  <c r="AG15" i="29"/>
  <c r="AG12" i="20"/>
  <c r="AG13" i="20" s="1"/>
  <c r="AG13" i="29" s="1"/>
  <c r="AE53" i="29"/>
  <c r="AD53" i="29"/>
  <c r="AC53" i="29"/>
  <c r="AB53" i="29"/>
  <c r="AA53" i="29"/>
  <c r="Z53" i="29"/>
  <c r="Y53" i="29"/>
  <c r="X53" i="29"/>
  <c r="W53" i="29"/>
  <c r="V53" i="29"/>
  <c r="U53" i="29"/>
  <c r="T53" i="29"/>
  <c r="S53" i="29"/>
  <c r="R53" i="29"/>
  <c r="Q53" i="29"/>
  <c r="P53" i="29"/>
  <c r="O53" i="29"/>
  <c r="N53" i="29"/>
  <c r="M53" i="29"/>
  <c r="L53" i="29"/>
  <c r="K53" i="29"/>
  <c r="J53" i="29"/>
  <c r="I53" i="29"/>
  <c r="H53" i="29"/>
  <c r="G53" i="29"/>
  <c r="F53" i="29"/>
  <c r="E53" i="29"/>
  <c r="D53" i="29"/>
  <c r="C53" i="29"/>
  <c r="B53" i="29"/>
  <c r="AE46" i="29"/>
  <c r="AD46" i="29"/>
  <c r="AC46" i="29"/>
  <c r="AB46" i="29"/>
  <c r="AA46" i="29"/>
  <c r="Z46" i="29"/>
  <c r="Y46" i="29"/>
  <c r="X46" i="29"/>
  <c r="W46" i="29"/>
  <c r="V46" i="29"/>
  <c r="U46" i="29"/>
  <c r="T46" i="29"/>
  <c r="S46" i="29"/>
  <c r="R46" i="29"/>
  <c r="Q46" i="29"/>
  <c r="P46" i="29"/>
  <c r="O46" i="29"/>
  <c r="N46" i="29"/>
  <c r="M46" i="29"/>
  <c r="L46" i="29"/>
  <c r="K46" i="29"/>
  <c r="J46" i="29"/>
  <c r="I46" i="29"/>
  <c r="H46" i="29"/>
  <c r="G46" i="29"/>
  <c r="F46" i="29"/>
  <c r="E46" i="29"/>
  <c r="D46" i="29"/>
  <c r="C46" i="29"/>
  <c r="B46" i="29"/>
  <c r="AF24" i="29"/>
  <c r="AF27" i="29"/>
  <c r="AF35" i="29"/>
  <c r="AF31" i="29"/>
  <c r="AF40" i="29"/>
  <c r="AF37" i="29"/>
  <c r="AF17" i="29"/>
  <c r="AE17" i="29"/>
  <c r="AB17" i="29"/>
  <c r="AF16" i="29"/>
  <c r="AE16" i="29"/>
  <c r="AB16" i="29"/>
  <c r="AF12" i="29"/>
  <c r="AF13" i="29"/>
  <c r="AE12" i="29"/>
  <c r="AE13" i="29"/>
  <c r="AD12" i="29"/>
  <c r="AD13" i="29"/>
  <c r="AC12" i="29"/>
  <c r="AC13" i="29"/>
  <c r="AB12" i="29"/>
  <c r="AB13" i="29"/>
  <c r="AA12" i="29"/>
  <c r="AA13" i="29"/>
  <c r="Z12" i="29"/>
  <c r="Z13" i="29"/>
  <c r="Y12" i="29"/>
  <c r="Y13" i="29"/>
  <c r="X12" i="29"/>
  <c r="X13" i="29"/>
  <c r="W12" i="29"/>
  <c r="W13" i="29"/>
  <c r="V12" i="29"/>
  <c r="V13" i="29"/>
  <c r="U12" i="29"/>
  <c r="U13" i="29"/>
  <c r="T12" i="29"/>
  <c r="T13" i="29"/>
  <c r="S12" i="29"/>
  <c r="S13" i="29"/>
  <c r="R12" i="29"/>
  <c r="R13" i="29"/>
  <c r="Q12" i="29"/>
  <c r="Q13" i="29"/>
  <c r="P12" i="29"/>
  <c r="P13" i="29"/>
  <c r="O12" i="29"/>
  <c r="O13" i="29"/>
  <c r="N12" i="29"/>
  <c r="N13" i="29"/>
  <c r="M12" i="29"/>
  <c r="M13" i="29"/>
  <c r="L12" i="29"/>
  <c r="L13" i="29"/>
  <c r="K12" i="29"/>
  <c r="K13" i="29"/>
  <c r="J12" i="29"/>
  <c r="J13" i="29"/>
  <c r="I12" i="29"/>
  <c r="I13" i="29"/>
  <c r="H12" i="29"/>
  <c r="H13" i="29"/>
  <c r="G12" i="29"/>
  <c r="G13" i="29"/>
  <c r="F12" i="29"/>
  <c r="F13" i="29"/>
  <c r="E12" i="29"/>
  <c r="E13" i="29"/>
  <c r="D12" i="29"/>
  <c r="D13" i="29"/>
  <c r="C12" i="29"/>
  <c r="C13" i="29"/>
  <c r="B12" i="29"/>
  <c r="B13" i="29"/>
  <c r="AF9" i="29"/>
  <c r="AE9" i="29"/>
  <c r="AF17" i="25"/>
  <c r="AF16" i="25"/>
  <c r="AF16" i="20"/>
  <c r="AE9" i="28"/>
  <c r="W9" i="28"/>
  <c r="Q9" i="28"/>
  <c r="L9" i="28"/>
  <c r="Q9" i="25"/>
  <c r="L9" i="25"/>
  <c r="AF27" i="28"/>
  <c r="AF22" i="28"/>
  <c r="AF12" i="28"/>
  <c r="AF13" i="28" s="1"/>
  <c r="AF22" i="25"/>
  <c r="AG17" i="24"/>
  <c r="AG16" i="24"/>
  <c r="AG16" i="22"/>
  <c r="AE17" i="20"/>
  <c r="AE16" i="20"/>
  <c r="AG17" i="22"/>
  <c r="AF12" i="25"/>
  <c r="AF13" i="25" s="1"/>
  <c r="AG22" i="24"/>
  <c r="AG22" i="22"/>
  <c r="AG12" i="22"/>
  <c r="AG13" i="22" s="1"/>
  <c r="AF12" i="20"/>
  <c r="AF13" i="20" s="1"/>
  <c r="AF27" i="20"/>
  <c r="AF17" i="20"/>
  <c r="AF17" i="24"/>
  <c r="AC17" i="24"/>
  <c r="AF16" i="24"/>
  <c r="AC16" i="24"/>
  <c r="AF17" i="22"/>
  <c r="AF16" i="22"/>
  <c r="AE46" i="20"/>
  <c r="AD46" i="20"/>
  <c r="AC46" i="20"/>
  <c r="AE12" i="20"/>
  <c r="AE13" i="20" s="1"/>
  <c r="AD12" i="20"/>
  <c r="AD13" i="20" s="1"/>
  <c r="AC12" i="20"/>
  <c r="AC13" i="20" s="1"/>
  <c r="AB12" i="20"/>
  <c r="AB13" i="20" s="1"/>
  <c r="AA12" i="20"/>
  <c r="AA13" i="20" s="1"/>
  <c r="Z12" i="20"/>
  <c r="Z13" i="20" s="1"/>
  <c r="Y12" i="20"/>
  <c r="Y13" i="20" s="1"/>
  <c r="X12" i="20"/>
  <c r="X13" i="20" s="1"/>
  <c r="W12" i="20"/>
  <c r="W13" i="20" s="1"/>
  <c r="V12" i="20"/>
  <c r="V13" i="20" s="1"/>
  <c r="U12" i="20"/>
  <c r="U13" i="20" s="1"/>
  <c r="T12" i="20"/>
  <c r="T13" i="20" s="1"/>
  <c r="S12" i="20"/>
  <c r="S13" i="20" s="1"/>
  <c r="R12" i="20"/>
  <c r="R13" i="20" s="1"/>
  <c r="Q12" i="20"/>
  <c r="Q13" i="20" s="1"/>
  <c r="P12" i="20"/>
  <c r="P13" i="20" s="1"/>
  <c r="O12" i="20"/>
  <c r="O13" i="20" s="1"/>
  <c r="N12" i="20"/>
  <c r="N13" i="20" s="1"/>
  <c r="M12" i="20"/>
  <c r="M13" i="20" s="1"/>
  <c r="L12" i="20"/>
  <c r="L13" i="20" s="1"/>
  <c r="K12" i="20"/>
  <c r="K13" i="20" s="1"/>
  <c r="J12" i="20"/>
  <c r="J13" i="20" s="1"/>
  <c r="I12" i="20"/>
  <c r="I13" i="20" s="1"/>
  <c r="H12" i="20"/>
  <c r="H13" i="20" s="1"/>
  <c r="G12" i="20"/>
  <c r="G13" i="20" s="1"/>
  <c r="F12" i="20"/>
  <c r="F13" i="20" s="1"/>
  <c r="E12" i="20"/>
  <c r="E13" i="20" s="1"/>
  <c r="D12" i="20"/>
  <c r="D13" i="20" s="1"/>
  <c r="C12" i="20"/>
  <c r="C13" i="20" s="1"/>
  <c r="B12" i="20"/>
  <c r="B13" i="20" s="1"/>
  <c r="AF13" i="22"/>
  <c r="AE13" i="22"/>
  <c r="AD13" i="22"/>
  <c r="AC13" i="22"/>
  <c r="AB13" i="22"/>
  <c r="AA13" i="22"/>
  <c r="Z13" i="22"/>
  <c r="Y13" i="22"/>
  <c r="X13" i="22"/>
  <c r="W13" i="22"/>
  <c r="V13" i="22"/>
  <c r="U13" i="22"/>
  <c r="T13" i="22"/>
  <c r="S13" i="22"/>
  <c r="R13" i="22"/>
  <c r="M13" i="22"/>
  <c r="AF12" i="24"/>
  <c r="AF13" i="24" s="1"/>
  <c r="AE12" i="24"/>
  <c r="AE13" i="24" s="1"/>
  <c r="AD12" i="24"/>
  <c r="AD13" i="24" s="1"/>
  <c r="AC12" i="24"/>
  <c r="AC13" i="24" s="1"/>
  <c r="AB12" i="24"/>
  <c r="AB13" i="24" s="1"/>
  <c r="AA12" i="24"/>
  <c r="AA13" i="24" s="1"/>
  <c r="Z12" i="24"/>
  <c r="Z13" i="24" s="1"/>
  <c r="Y12" i="24"/>
  <c r="Y13" i="24" s="1"/>
  <c r="X12" i="24"/>
  <c r="X13" i="24" s="1"/>
  <c r="W12" i="24"/>
  <c r="W13" i="24" s="1"/>
  <c r="V12" i="24"/>
  <c r="V13" i="24" s="1"/>
  <c r="U12" i="24"/>
  <c r="U13" i="24" s="1"/>
  <c r="T12" i="24"/>
  <c r="T13" i="24" s="1"/>
  <c r="S12" i="24"/>
  <c r="S13" i="24" s="1"/>
  <c r="R12" i="24"/>
  <c r="R13" i="24" s="1"/>
  <c r="Q12" i="24"/>
  <c r="Q13" i="24" s="1"/>
  <c r="P12" i="24"/>
  <c r="P13" i="24" s="1"/>
  <c r="O12" i="24"/>
  <c r="O13" i="24" s="1"/>
  <c r="N12" i="24"/>
  <c r="N13" i="24" s="1"/>
  <c r="M12" i="24"/>
  <c r="M13" i="24" s="1"/>
  <c r="L12" i="24"/>
  <c r="L13" i="24" s="1"/>
  <c r="K12" i="24"/>
  <c r="K13" i="24" s="1"/>
  <c r="J12" i="24"/>
  <c r="J13" i="24" s="1"/>
  <c r="I12" i="24"/>
  <c r="I13" i="24" s="1"/>
  <c r="H12" i="24"/>
  <c r="H13" i="24" s="1"/>
  <c r="G12" i="24"/>
  <c r="G13" i="24" s="1"/>
  <c r="F12" i="24"/>
  <c r="F13" i="24" s="1"/>
  <c r="E12" i="24"/>
  <c r="E13" i="24" s="1"/>
  <c r="D12" i="24"/>
  <c r="D13" i="24" s="1"/>
  <c r="C12" i="24"/>
  <c r="C13" i="24" s="1"/>
  <c r="B12" i="24"/>
  <c r="B13" i="24" s="1"/>
  <c r="AE12" i="25"/>
  <c r="AE13" i="25" s="1"/>
  <c r="AE22" i="25"/>
  <c r="AD22" i="25"/>
  <c r="AC22" i="25"/>
  <c r="AB22" i="25"/>
  <c r="AA22" i="25"/>
  <c r="Z22" i="25"/>
  <c r="Y22" i="25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B22" i="25"/>
  <c r="AD12" i="25"/>
  <c r="AD13" i="25"/>
  <c r="AC12" i="25"/>
  <c r="AC13" i="25"/>
  <c r="AA12" i="25"/>
  <c r="AA13" i="25"/>
  <c r="Z12" i="25"/>
  <c r="Z13" i="25"/>
  <c r="Y12" i="25"/>
  <c r="Y13" i="25"/>
  <c r="X12" i="25"/>
  <c r="X13" i="25"/>
  <c r="W12" i="25"/>
  <c r="W13" i="25"/>
  <c r="V12" i="25"/>
  <c r="V13" i="25"/>
  <c r="U12" i="25"/>
  <c r="U13" i="25"/>
  <c r="T12" i="25"/>
  <c r="T13" i="25"/>
  <c r="S12" i="25"/>
  <c r="S13" i="25"/>
  <c r="R12" i="25"/>
  <c r="R13" i="25"/>
  <c r="Q12" i="25"/>
  <c r="Q13" i="25"/>
  <c r="P12" i="25"/>
  <c r="P13" i="25"/>
  <c r="O12" i="25"/>
  <c r="O13" i="25"/>
  <c r="N12" i="25"/>
  <c r="N13" i="25"/>
  <c r="M12" i="25"/>
  <c r="M13" i="25"/>
  <c r="L12" i="25"/>
  <c r="L13" i="25"/>
  <c r="K12" i="25"/>
  <c r="K13" i="25"/>
  <c r="J12" i="25"/>
  <c r="J13" i="25"/>
  <c r="I12" i="25"/>
  <c r="I13" i="25"/>
  <c r="H12" i="25"/>
  <c r="H13" i="25"/>
  <c r="G12" i="25"/>
  <c r="G13" i="25"/>
  <c r="F12" i="25"/>
  <c r="F13" i="25"/>
  <c r="E12" i="25"/>
  <c r="E13" i="25"/>
  <c r="D12" i="25"/>
  <c r="D13" i="25"/>
  <c r="C12" i="25"/>
  <c r="C13" i="25"/>
  <c r="B12" i="25"/>
  <c r="B13" i="25"/>
  <c r="P9" i="25"/>
  <c r="O9" i="25"/>
  <c r="N9" i="25"/>
  <c r="M9" i="25"/>
  <c r="K9" i="25"/>
  <c r="J9" i="25"/>
  <c r="I9" i="25"/>
  <c r="H9" i="25"/>
  <c r="G9" i="25"/>
  <c r="F9" i="25"/>
  <c r="E9" i="25"/>
  <c r="D9" i="25"/>
  <c r="C9" i="25"/>
  <c r="B9" i="25"/>
  <c r="L12" i="28"/>
  <c r="L13" i="28" s="1"/>
  <c r="K9" i="28"/>
  <c r="J9" i="28"/>
  <c r="I9" i="28"/>
  <c r="H9" i="28"/>
  <c r="G9" i="28"/>
  <c r="F9" i="28"/>
  <c r="E9" i="28"/>
  <c r="D9" i="28"/>
  <c r="C9" i="28"/>
  <c r="B9" i="28"/>
  <c r="K12" i="28"/>
  <c r="K13" i="28" s="1"/>
  <c r="J12" i="28"/>
  <c r="J13" i="28" s="1"/>
  <c r="I12" i="28"/>
  <c r="I13" i="28" s="1"/>
  <c r="H12" i="28"/>
  <c r="H13" i="28" s="1"/>
  <c r="G12" i="28"/>
  <c r="G13" i="28" s="1"/>
  <c r="F12" i="28"/>
  <c r="F13" i="28" s="1"/>
  <c r="E12" i="28"/>
  <c r="E13" i="28" s="1"/>
  <c r="D12" i="28"/>
  <c r="D13" i="28" s="1"/>
  <c r="C12" i="28"/>
  <c r="C13" i="28" s="1"/>
  <c r="B12" i="28"/>
  <c r="B13" i="28" s="1"/>
  <c r="AE12" i="28"/>
  <c r="AE13" i="28" s="1"/>
  <c r="AD12" i="28"/>
  <c r="AD13" i="28" s="1"/>
  <c r="AC12" i="28"/>
  <c r="AC13" i="28" s="1"/>
  <c r="AA12" i="28"/>
  <c r="AA13" i="28" s="1"/>
  <c r="Z12" i="28"/>
  <c r="Z13" i="28" s="1"/>
  <c r="Y12" i="28"/>
  <c r="Y13" i="28" s="1"/>
  <c r="X12" i="28"/>
  <c r="X13" i="28" s="1"/>
  <c r="W12" i="28"/>
  <c r="W13" i="28" s="1"/>
  <c r="V12" i="28"/>
  <c r="V13" i="28" s="1"/>
  <c r="U12" i="28"/>
  <c r="U13" i="28" s="1"/>
  <c r="T12" i="28"/>
  <c r="T13" i="28" s="1"/>
  <c r="S12" i="28"/>
  <c r="S13" i="28" s="1"/>
  <c r="R12" i="28"/>
  <c r="R13" i="28" s="1"/>
  <c r="Q12" i="28"/>
  <c r="Q13" i="28" s="1"/>
  <c r="AD9" i="28"/>
  <c r="AC9" i="28"/>
  <c r="AA9" i="28"/>
  <c r="Z9" i="28"/>
  <c r="Y9" i="28"/>
  <c r="X9" i="28"/>
  <c r="V9" i="28"/>
  <c r="U9" i="28"/>
  <c r="T9" i="28"/>
  <c r="S9" i="28"/>
  <c r="R9" i="28"/>
  <c r="AI10" i="30"/>
  <c r="AN10" i="30" s="1"/>
  <c r="AI9" i="30"/>
  <c r="AN9" i="30" s="1"/>
  <c r="AH9" i="32"/>
  <c r="AK9" i="32" s="1"/>
  <c r="AI12" i="24"/>
  <c r="AI13" i="24" s="1"/>
  <c r="AI10" i="31"/>
  <c r="AL10" i="31" s="1"/>
  <c r="AI9" i="24"/>
  <c r="AI9" i="31"/>
  <c r="AL9" i="31" s="1"/>
  <c r="AI16" i="24"/>
  <c r="AI40" i="32"/>
  <c r="AN39" i="30"/>
  <c r="AL40" i="29"/>
  <c r="AI36" i="30"/>
  <c r="AQ17" i="22"/>
  <c r="AF40" i="32"/>
  <c r="AL40" i="28"/>
  <c r="AL10" i="30"/>
  <c r="AK33" i="32"/>
  <c r="AM38" i="29"/>
  <c r="U27" i="25"/>
  <c r="U42" i="25" s="1"/>
  <c r="AD27" i="25"/>
  <c r="AI24" i="29"/>
  <c r="AM24" i="29" s="1"/>
  <c r="AI40" i="28"/>
  <c r="AH10" i="32"/>
  <c r="AK10" i="32" s="1"/>
  <c r="AO12" i="24"/>
  <c r="AO13" i="24" s="1"/>
  <c r="AN22" i="28"/>
  <c r="AN12" i="28"/>
  <c r="AN13" i="28" s="1"/>
  <c r="B40" i="25"/>
  <c r="AO36" i="22"/>
  <c r="AO31" i="22" s="1"/>
  <c r="AN35" i="20"/>
  <c r="AP17" i="20"/>
  <c r="AQ12" i="24"/>
  <c r="AQ13" i="24" s="1"/>
  <c r="AQ17" i="24"/>
  <c r="AP17" i="25"/>
  <c r="AG13" i="28"/>
  <c r="AG13" i="33" s="1"/>
  <c r="AH22" i="28"/>
  <c r="AH22" i="33" s="1"/>
  <c r="AK22" i="33" s="1"/>
  <c r="AH10" i="33"/>
  <c r="AK10" i="33" s="1"/>
  <c r="AK10" i="31"/>
  <c r="AO17" i="22"/>
  <c r="AN31" i="20"/>
  <c r="AN40" i="20" s="1"/>
  <c r="AF42" i="29"/>
  <c r="W46" i="20"/>
  <c r="AG43" i="30"/>
  <c r="AI35" i="29"/>
  <c r="AM35" i="29" s="1"/>
  <c r="AN12" i="25"/>
  <c r="AN13" i="25" s="1"/>
  <c r="AQ22" i="24"/>
  <c r="P40" i="25"/>
  <c r="AI40" i="25"/>
  <c r="K40" i="25"/>
  <c r="AN40" i="28"/>
  <c r="AH31" i="33"/>
  <c r="AK31" i="33" s="1"/>
  <c r="K40" i="20"/>
  <c r="K42" i="20" s="1"/>
  <c r="K46" i="20" s="1"/>
  <c r="J40" i="20"/>
  <c r="J42" i="20" s="1"/>
  <c r="J46" i="20" s="1"/>
  <c r="AI37" i="29"/>
  <c r="AM37" i="29" s="1"/>
  <c r="AB20" i="20"/>
  <c r="AB27" i="20" s="1"/>
  <c r="AM33" i="29"/>
  <c r="I42" i="20"/>
  <c r="I46" i="20" s="1"/>
  <c r="AJ27" i="28" l="1"/>
  <c r="T42" i="28"/>
  <c r="AJ42" i="28"/>
  <c r="F42" i="28"/>
  <c r="X42" i="28"/>
  <c r="AF42" i="28"/>
  <c r="AK38" i="33"/>
  <c r="AG27" i="33"/>
  <c r="S40" i="28"/>
  <c r="S42" i="28" s="1"/>
  <c r="AH40" i="28"/>
  <c r="AM40" i="28"/>
  <c r="L40" i="28"/>
  <c r="C40" i="28"/>
  <c r="AG31" i="33"/>
  <c r="AG40" i="33" s="1"/>
  <c r="G40" i="28"/>
  <c r="V42" i="28"/>
  <c r="D40" i="28"/>
  <c r="Z42" i="28"/>
  <c r="R40" i="28"/>
  <c r="R42" i="28" s="1"/>
  <c r="AE40" i="28"/>
  <c r="E40" i="28"/>
  <c r="B40" i="28"/>
  <c r="B42" i="28" s="1"/>
  <c r="C20" i="28" s="1"/>
  <c r="C27" i="28" s="1"/>
  <c r="C42" i="28" s="1"/>
  <c r="D20" i="28" s="1"/>
  <c r="D27" i="28" s="1"/>
  <c r="D42" i="28" s="1"/>
  <c r="E20" i="28" s="1"/>
  <c r="E27" i="28" s="1"/>
  <c r="E42" i="28" s="1"/>
  <c r="H20" i="28" s="1"/>
  <c r="H27" i="28" s="1"/>
  <c r="H42" i="28" s="1"/>
  <c r="L20" i="28" s="1"/>
  <c r="L27" i="28" s="1"/>
  <c r="L42" i="28" s="1"/>
  <c r="Q20" i="28" s="1"/>
  <c r="Q27" i="28" s="1"/>
  <c r="AO40" i="28"/>
  <c r="S42" i="25"/>
  <c r="AH12" i="25"/>
  <c r="AH13" i="25" s="1"/>
  <c r="AD42" i="25"/>
  <c r="AG13" i="25"/>
  <c r="AG13" i="32" s="1"/>
  <c r="AK40" i="25"/>
  <c r="G40" i="25"/>
  <c r="I42" i="25"/>
  <c r="K42" i="25"/>
  <c r="X40" i="25"/>
  <c r="X42" i="25" s="1"/>
  <c r="Y42" i="25"/>
  <c r="AC40" i="25"/>
  <c r="AF40" i="25"/>
  <c r="AB40" i="25"/>
  <c r="H40" i="25"/>
  <c r="AO40" i="25"/>
  <c r="AF42" i="25"/>
  <c r="AK38" i="32"/>
  <c r="AH24" i="32"/>
  <c r="AK24" i="32" s="1"/>
  <c r="G27" i="25"/>
  <c r="G42" i="25" s="1"/>
  <c r="AN17" i="25"/>
  <c r="AJ40" i="25"/>
  <c r="F42" i="25"/>
  <c r="M40" i="25"/>
  <c r="M42" i="25" s="1"/>
  <c r="N42" i="25"/>
  <c r="Z40" i="25"/>
  <c r="Z42" i="25" s="1"/>
  <c r="AA40" i="25"/>
  <c r="AA42" i="25" s="1"/>
  <c r="AE42" i="25"/>
  <c r="AG40" i="25"/>
  <c r="AG42" i="25" s="1"/>
  <c r="AL40" i="25"/>
  <c r="AM40" i="25"/>
  <c r="Q40" i="25"/>
  <c r="D40" i="25"/>
  <c r="O43" i="24"/>
  <c r="Z43" i="24"/>
  <c r="AO17" i="24"/>
  <c r="AI31" i="31"/>
  <c r="AL31" i="31" s="1"/>
  <c r="AK41" i="24"/>
  <c r="I41" i="24"/>
  <c r="I43" i="24" s="1"/>
  <c r="Q41" i="24"/>
  <c r="AB41" i="24"/>
  <c r="AB43" i="24" s="1"/>
  <c r="L43" i="24"/>
  <c r="AA43" i="24"/>
  <c r="AM41" i="24"/>
  <c r="AC41" i="24"/>
  <c r="H41" i="24"/>
  <c r="B41" i="24"/>
  <c r="AL32" i="31"/>
  <c r="K41" i="24"/>
  <c r="K43" i="24" s="1"/>
  <c r="Y41" i="24"/>
  <c r="Y43" i="24" s="1"/>
  <c r="AJ41" i="24"/>
  <c r="M41" i="24"/>
  <c r="C41" i="24"/>
  <c r="AH24" i="31"/>
  <c r="AL21" i="31"/>
  <c r="P41" i="24"/>
  <c r="P43" i="24" s="1"/>
  <c r="S41" i="24"/>
  <c r="AI41" i="24"/>
  <c r="G43" i="24"/>
  <c r="T43" i="24"/>
  <c r="AN41" i="24"/>
  <c r="R41" i="24"/>
  <c r="D41" i="24"/>
  <c r="AH41" i="30"/>
  <c r="J43" i="22"/>
  <c r="B43" i="22"/>
  <c r="C20" i="22" s="1"/>
  <c r="C27" i="22" s="1"/>
  <c r="C43" i="22" s="1"/>
  <c r="D20" i="22" s="1"/>
  <c r="D27" i="22" s="1"/>
  <c r="K41" i="22"/>
  <c r="AR36" i="22"/>
  <c r="AO12" i="22"/>
  <c r="AO13" i="22" s="1"/>
  <c r="AH31" i="22"/>
  <c r="AH41" i="22" s="1"/>
  <c r="AI16" i="22"/>
  <c r="AH24" i="30"/>
  <c r="Y43" i="22"/>
  <c r="AE41" i="22"/>
  <c r="AE43" i="22" s="1"/>
  <c r="AI41" i="22"/>
  <c r="L41" i="22"/>
  <c r="L43" i="22" s="1"/>
  <c r="P41" i="22"/>
  <c r="Z41" i="22"/>
  <c r="AM41" i="22"/>
  <c r="H41" i="22"/>
  <c r="H43" i="22" s="1"/>
  <c r="M20" i="22" s="1"/>
  <c r="M27" i="22" s="1"/>
  <c r="M43" i="22" s="1"/>
  <c r="R20" i="22" s="1"/>
  <c r="R27" i="22" s="1"/>
  <c r="G43" i="22"/>
  <c r="K43" i="22"/>
  <c r="O43" i="22"/>
  <c r="S43" i="22"/>
  <c r="V43" i="22"/>
  <c r="Z43" i="22"/>
  <c r="AF43" i="22"/>
  <c r="F41" i="22"/>
  <c r="Q41" i="22"/>
  <c r="U41" i="22"/>
  <c r="AA41" i="22"/>
  <c r="R41" i="22"/>
  <c r="M41" i="22"/>
  <c r="AH13" i="22"/>
  <c r="AH13" i="30" s="1"/>
  <c r="AH38" i="30"/>
  <c r="AI12" i="22"/>
  <c r="AI13" i="22" s="1"/>
  <c r="AK9" i="22"/>
  <c r="AK10" i="22" s="1"/>
  <c r="D41" i="22"/>
  <c r="J41" i="22"/>
  <c r="N41" i="22"/>
  <c r="N43" i="22" s="1"/>
  <c r="AL41" i="22"/>
  <c r="X41" i="22"/>
  <c r="H27" i="22"/>
  <c r="P40" i="20"/>
  <c r="P42" i="20" s="1"/>
  <c r="P46" i="20" s="1"/>
  <c r="AI40" i="20"/>
  <c r="AI46" i="20" s="1"/>
  <c r="AK42" i="20"/>
  <c r="AQ12" i="20"/>
  <c r="AL20" i="20"/>
  <c r="AL27" i="20" s="1"/>
  <c r="AG12" i="29"/>
  <c r="F40" i="20"/>
  <c r="I52" i="20"/>
  <c r="N52" i="20"/>
  <c r="S52" i="20"/>
  <c r="W52" i="20"/>
  <c r="B40" i="20"/>
  <c r="B42" i="20" s="1"/>
  <c r="AQ20" i="20"/>
  <c r="AG40" i="29"/>
  <c r="AG42" i="29" s="1"/>
  <c r="AJ20" i="29" s="1"/>
  <c r="AJ27" i="29" s="1"/>
  <c r="AJ42" i="29" s="1"/>
  <c r="AQ35" i="20"/>
  <c r="AM20" i="20"/>
  <c r="AM27" i="20" s="1"/>
  <c r="AC52" i="20"/>
  <c r="H40" i="20"/>
  <c r="AQ24" i="20"/>
  <c r="AP40" i="28"/>
  <c r="AQ40" i="28" s="1"/>
  <c r="AQ37" i="28"/>
  <c r="AQ31" i="28"/>
  <c r="AP40" i="25"/>
  <c r="AQ40" i="25" s="1"/>
  <c r="AQ37" i="25"/>
  <c r="AQ41" i="24"/>
  <c r="AR41" i="24" s="1"/>
  <c r="AR31" i="24"/>
  <c r="AP40" i="20"/>
  <c r="AQ40" i="20" s="1"/>
  <c r="AQ31" i="20"/>
  <c r="AG37" i="32"/>
  <c r="AG31" i="32"/>
  <c r="AK21" i="32"/>
  <c r="AG27" i="32"/>
  <c r="G42" i="28"/>
  <c r="AG42" i="33"/>
  <c r="AI20" i="33" s="1"/>
  <c r="AI27" i="33" s="1"/>
  <c r="AI42" i="33" s="1"/>
  <c r="AG42" i="28"/>
  <c r="AH40" i="33"/>
  <c r="AK40" i="33" s="1"/>
  <c r="AN16" i="28"/>
  <c r="AI20" i="29"/>
  <c r="AI27" i="29" s="1"/>
  <c r="AI27" i="20"/>
  <c r="AP13" i="25"/>
  <c r="R42" i="25"/>
  <c r="AC42" i="25"/>
  <c r="C27" i="25"/>
  <c r="C42" i="25" s="1"/>
  <c r="D20" i="25" s="1"/>
  <c r="AH31" i="32"/>
  <c r="AJ22" i="25"/>
  <c r="AJ21" i="25" s="1"/>
  <c r="T40" i="25"/>
  <c r="T42" i="25" s="1"/>
  <c r="AP22" i="25"/>
  <c r="AH41" i="31"/>
  <c r="AH27" i="31"/>
  <c r="AH43" i="31" s="1"/>
  <c r="AJ20" i="31" s="1"/>
  <c r="AJ27" i="31" s="1"/>
  <c r="AJ43" i="31" s="1"/>
  <c r="Q43" i="24"/>
  <c r="U43" i="24"/>
  <c r="W43" i="24"/>
  <c r="B43" i="24"/>
  <c r="C20" i="24" s="1"/>
  <c r="C27" i="24" s="1"/>
  <c r="N43" i="24"/>
  <c r="S43" i="24"/>
  <c r="AI24" i="31"/>
  <c r="AL24" i="31" s="1"/>
  <c r="AI38" i="31"/>
  <c r="AK22" i="24"/>
  <c r="AK21" i="24" s="1"/>
  <c r="AK27" i="24" s="1"/>
  <c r="AK43" i="24" s="1"/>
  <c r="AH12" i="31"/>
  <c r="AR31" i="22"/>
  <c r="T46" i="20"/>
  <c r="T52" i="20"/>
  <c r="O40" i="20"/>
  <c r="O42" i="20" s="1"/>
  <c r="O46" i="20" s="1"/>
  <c r="O52" i="20"/>
  <c r="Z40" i="20"/>
  <c r="Z42" i="20" s="1"/>
  <c r="Z46" i="20" s="1"/>
  <c r="AH31" i="20"/>
  <c r="AH40" i="20" s="1"/>
  <c r="AH42" i="20" s="1"/>
  <c r="AJ20" i="20" s="1"/>
  <c r="AJ27" i="20" s="1"/>
  <c r="AJ42" i="20" s="1"/>
  <c r="AH35" i="29"/>
  <c r="Y27" i="20"/>
  <c r="Y42" i="20" s="1"/>
  <c r="Y46" i="20" s="1"/>
  <c r="AN16" i="20"/>
  <c r="AN17" i="20"/>
  <c r="AM32" i="29"/>
  <c r="AI31" i="29"/>
  <c r="R40" i="20"/>
  <c r="R46" i="20" s="1"/>
  <c r="U40" i="20"/>
  <c r="U42" i="20" s="1"/>
  <c r="U46" i="20" s="1"/>
  <c r="F42" i="20"/>
  <c r="AN42" i="20"/>
  <c r="L52" i="20"/>
  <c r="V40" i="20"/>
  <c r="V42" i="20" s="1"/>
  <c r="V46" i="20" s="1"/>
  <c r="AB52" i="20"/>
  <c r="AB40" i="20"/>
  <c r="AB46" i="20" s="1"/>
  <c r="X52" i="20"/>
  <c r="X27" i="20"/>
  <c r="AL42" i="20"/>
  <c r="J52" i="20"/>
  <c r="AF42" i="20"/>
  <c r="AH31" i="29"/>
  <c r="AH40" i="29" s="1"/>
  <c r="AH42" i="29" s="1"/>
  <c r="AK20" i="29" s="1"/>
  <c r="AK27" i="29" s="1"/>
  <c r="AK42" i="29" s="1"/>
  <c r="K52" i="20"/>
  <c r="Q40" i="20"/>
  <c r="Q42" i="20" s="1"/>
  <c r="Q46" i="20" s="1"/>
  <c r="Q52" i="20"/>
  <c r="G46" i="20"/>
  <c r="AG42" i="20"/>
  <c r="AA27" i="20"/>
  <c r="AA42" i="20" s="1"/>
  <c r="AA46" i="20" s="1"/>
  <c r="AA52" i="20"/>
  <c r="AM40" i="20"/>
  <c r="AP27" i="20"/>
  <c r="AH27" i="30"/>
  <c r="I43" i="22"/>
  <c r="P43" i="22"/>
  <c r="T43" i="22"/>
  <c r="W43" i="22"/>
  <c r="AA43" i="22"/>
  <c r="AH43" i="22"/>
  <c r="AK22" i="22"/>
  <c r="AI22" i="30"/>
  <c r="AL22" i="30" s="1"/>
  <c r="AL21" i="30" s="1"/>
  <c r="Q43" i="22"/>
  <c r="U43" i="22"/>
  <c r="AO41" i="22"/>
  <c r="F43" i="22"/>
  <c r="AG43" i="22"/>
  <c r="AI24" i="30"/>
  <c r="AN24" i="30" s="1"/>
  <c r="AI31" i="30"/>
  <c r="AI41" i="30" s="1"/>
  <c r="AK46" i="20"/>
  <c r="W20" i="28" l="1"/>
  <c r="W27" i="28" s="1"/>
  <c r="C43" i="24"/>
  <c r="D20" i="24" s="1"/>
  <c r="D27" i="24" s="1"/>
  <c r="D43" i="24" s="1"/>
  <c r="E20" i="24" s="1"/>
  <c r="E27" i="24" s="1"/>
  <c r="E43" i="24" s="1"/>
  <c r="H20" i="24" s="1"/>
  <c r="H27" i="24" s="1"/>
  <c r="H43" i="24" s="1"/>
  <c r="M20" i="24" s="1"/>
  <c r="M27" i="24" s="1"/>
  <c r="M43" i="24" s="1"/>
  <c r="R20" i="24" s="1"/>
  <c r="R27" i="24" s="1"/>
  <c r="X20" i="22"/>
  <c r="X27" i="22" s="1"/>
  <c r="X54" i="22" s="1"/>
  <c r="R54" i="22"/>
  <c r="D43" i="22"/>
  <c r="E20" i="22" s="1"/>
  <c r="E27" i="22" s="1"/>
  <c r="E43" i="22" s="1"/>
  <c r="AH43" i="30"/>
  <c r="AJ20" i="30" s="1"/>
  <c r="AK21" i="22"/>
  <c r="AK27" i="22" s="1"/>
  <c r="B52" i="20"/>
  <c r="C20" i="20"/>
  <c r="C27" i="20" s="1"/>
  <c r="C42" i="20" s="1"/>
  <c r="B46" i="20"/>
  <c r="P52" i="20"/>
  <c r="U52" i="20"/>
  <c r="AG40" i="32"/>
  <c r="AG42" i="32" s="1"/>
  <c r="AI20" i="32" s="1"/>
  <c r="AI27" i="32" s="1"/>
  <c r="AI42" i="32" s="1"/>
  <c r="AC20" i="22"/>
  <c r="AC27" i="22" s="1"/>
  <c r="AC54" i="22" s="1"/>
  <c r="AH20" i="28"/>
  <c r="AI20" i="28"/>
  <c r="AI27" i="28" s="1"/>
  <c r="AH40" i="32"/>
  <c r="AK40" i="32" s="1"/>
  <c r="AK31" i="32"/>
  <c r="D27" i="25"/>
  <c r="D42" i="25" s="1"/>
  <c r="E20" i="25" s="1"/>
  <c r="AL38" i="31"/>
  <c r="AI41" i="31"/>
  <c r="AL41" i="31" s="1"/>
  <c r="AM42" i="20"/>
  <c r="F46" i="20"/>
  <c r="F52" i="20"/>
  <c r="AM31" i="29"/>
  <c r="AI40" i="29"/>
  <c r="AM40" i="29" s="1"/>
  <c r="AP42" i="20"/>
  <c r="Y52" i="20"/>
  <c r="Z52" i="20"/>
  <c r="AI42" i="29"/>
  <c r="AL20" i="29" s="1"/>
  <c r="V52" i="20"/>
  <c r="AK36" i="22"/>
  <c r="AK31" i="22" s="1"/>
  <c r="AK41" i="22" s="1"/>
  <c r="AN21" i="30"/>
  <c r="AL27" i="30"/>
  <c r="AL36" i="30"/>
  <c r="AB20" i="28" l="1"/>
  <c r="AB27" i="28" s="1"/>
  <c r="R43" i="24"/>
  <c r="X20" i="24" s="1"/>
  <c r="X27" i="24" s="1"/>
  <c r="AQ42" i="20"/>
  <c r="AI20" i="22"/>
  <c r="AI27" i="22" s="1"/>
  <c r="AI43" i="22" s="1"/>
  <c r="AI20" i="30" s="1"/>
  <c r="AJ20" i="22"/>
  <c r="AJ27" i="22" s="1"/>
  <c r="AH27" i="28"/>
  <c r="AH42" i="28" s="1"/>
  <c r="AJ20" i="33" s="1"/>
  <c r="AH20" i="33"/>
  <c r="AH27" i="33" s="1"/>
  <c r="AH42" i="33" s="1"/>
  <c r="AM20" i="28"/>
  <c r="AM27" i="28" s="1"/>
  <c r="AM42" i="28" s="1"/>
  <c r="AN20" i="28"/>
  <c r="AN27" i="28" s="1"/>
  <c r="AK20" i="28"/>
  <c r="AK27" i="28" s="1"/>
  <c r="AK42" i="28" s="1"/>
  <c r="AO20" i="28"/>
  <c r="AO27" i="28" s="1"/>
  <c r="AL20" i="28"/>
  <c r="AL27" i="28" s="1"/>
  <c r="AL42" i="28" s="1"/>
  <c r="E27" i="25"/>
  <c r="E42" i="25" s="1"/>
  <c r="H20" i="25" s="1"/>
  <c r="C46" i="20"/>
  <c r="D20" i="20"/>
  <c r="AL27" i="29"/>
  <c r="AM20" i="29"/>
  <c r="C52" i="20"/>
  <c r="AP20" i="22"/>
  <c r="AN20" i="30"/>
  <c r="AI27" i="30"/>
  <c r="AI43" i="30" s="1"/>
  <c r="AL31" i="30"/>
  <c r="AN36" i="30"/>
  <c r="AK43" i="22"/>
  <c r="AN27" i="30"/>
  <c r="AN42" i="28" l="1"/>
  <c r="X43" i="24"/>
  <c r="AC20" i="24" s="1"/>
  <c r="AC27" i="24" s="1"/>
  <c r="AL20" i="22"/>
  <c r="AL27" i="22" s="1"/>
  <c r="AL43" i="22" s="1"/>
  <c r="AL47" i="22" s="1"/>
  <c r="AJ54" i="22"/>
  <c r="AQ20" i="22"/>
  <c r="AR20" i="22" s="1"/>
  <c r="AN20" i="22"/>
  <c r="AN27" i="22" s="1"/>
  <c r="AN43" i="22" s="1"/>
  <c r="AM20" i="22"/>
  <c r="AM27" i="22" s="1"/>
  <c r="AM43" i="22" s="1"/>
  <c r="AM47" i="22" s="1"/>
  <c r="AO20" i="22"/>
  <c r="AO27" i="22" s="1"/>
  <c r="AP20" i="28"/>
  <c r="AJ27" i="33"/>
  <c r="AK20" i="33"/>
  <c r="H27" i="25"/>
  <c r="H42" i="25" s="1"/>
  <c r="L20" i="25" s="1"/>
  <c r="AL42" i="29"/>
  <c r="AM42" i="29" s="1"/>
  <c r="AM27" i="29"/>
  <c r="D52" i="20"/>
  <c r="D27" i="20"/>
  <c r="D42" i="20" s="1"/>
  <c r="AN31" i="30"/>
  <c r="AL41" i="30"/>
  <c r="AC43" i="24" l="1"/>
  <c r="AO43" i="22"/>
  <c r="AO54" i="22"/>
  <c r="AJ42" i="33"/>
  <c r="AK42" i="33" s="1"/>
  <c r="AK27" i="33"/>
  <c r="L27" i="25"/>
  <c r="L42" i="25" s="1"/>
  <c r="Q20" i="25" s="1"/>
  <c r="E20" i="20"/>
  <c r="D46" i="20"/>
  <c r="AQ27" i="22"/>
  <c r="AN41" i="30"/>
  <c r="AL43" i="30"/>
  <c r="AN43" i="30" s="1"/>
  <c r="AJ20" i="24" l="1"/>
  <c r="AJ27" i="24" s="1"/>
  <c r="AI20" i="24"/>
  <c r="Q27" i="25"/>
  <c r="E27" i="20"/>
  <c r="E42" i="20" s="1"/>
  <c r="E52" i="20"/>
  <c r="AQ43" i="22"/>
  <c r="W20" i="25" l="1"/>
  <c r="AI20" i="31"/>
  <c r="AI27" i="31" s="1"/>
  <c r="AI43" i="31" s="1"/>
  <c r="AI27" i="24"/>
  <c r="AI43" i="24" s="1"/>
  <c r="AK20" i="31" s="1"/>
  <c r="AJ43" i="24"/>
  <c r="AR43" i="22"/>
  <c r="AQ54" i="22"/>
  <c r="W27" i="25"/>
  <c r="H20" i="20"/>
  <c r="E46" i="20"/>
  <c r="AB20" i="25" l="1"/>
  <c r="AO20" i="24"/>
  <c r="AO27" i="24" s="1"/>
  <c r="AM20" i="24"/>
  <c r="AM27" i="24" s="1"/>
  <c r="AM43" i="24" s="1"/>
  <c r="AL20" i="24"/>
  <c r="AP20" i="24"/>
  <c r="AP27" i="24" s="1"/>
  <c r="AN20" i="24"/>
  <c r="AN27" i="24" s="1"/>
  <c r="AN43" i="24" s="1"/>
  <c r="AL20" i="31"/>
  <c r="AK27" i="31"/>
  <c r="AB27" i="25"/>
  <c r="H27" i="20"/>
  <c r="H42" i="20" s="1"/>
  <c r="AK43" i="31" l="1"/>
  <c r="AL43" i="31" s="1"/>
  <c r="AL54" i="31" s="1"/>
  <c r="AL27" i="31"/>
  <c r="AP43" i="24"/>
  <c r="AQ20" i="24" s="1"/>
  <c r="AO43" i="24"/>
  <c r="AH20" i="25"/>
  <c r="AI20" i="25"/>
  <c r="AI27" i="25" s="1"/>
  <c r="M20" i="20"/>
  <c r="H46" i="20"/>
  <c r="H52" i="20"/>
  <c r="AQ27" i="24" l="1"/>
  <c r="AR20" i="24"/>
  <c r="AN20" i="25"/>
  <c r="AN27" i="25" s="1"/>
  <c r="AO20" i="25"/>
  <c r="AL20" i="25"/>
  <c r="AL27" i="25" s="1"/>
  <c r="AL42" i="25" s="1"/>
  <c r="AK20" i="25"/>
  <c r="AK27" i="25" s="1"/>
  <c r="AK42" i="25" s="1"/>
  <c r="AM20" i="25"/>
  <c r="AM27" i="25" s="1"/>
  <c r="AM42" i="25" s="1"/>
  <c r="AH20" i="32"/>
  <c r="AH27" i="32" s="1"/>
  <c r="AH42" i="32" s="1"/>
  <c r="AJ20" i="32" s="1"/>
  <c r="AH27" i="25"/>
  <c r="AH42" i="25" s="1"/>
  <c r="AJ20" i="25" s="1"/>
  <c r="AJ27" i="25" s="1"/>
  <c r="AJ42" i="25" s="1"/>
  <c r="M27" i="20"/>
  <c r="M42" i="20" s="1"/>
  <c r="M52" i="20" s="1"/>
  <c r="AO27" i="25" l="1"/>
  <c r="AQ20" i="25"/>
  <c r="AN42" i="25"/>
  <c r="AQ43" i="24"/>
  <c r="AR43" i="24" s="1"/>
  <c r="AR27" i="24"/>
  <c r="AJ27" i="32"/>
  <c r="AK20" i="32"/>
  <c r="AP27" i="25"/>
  <c r="R20" i="20"/>
  <c r="R27" i="20" s="1"/>
  <c r="M46" i="20"/>
  <c r="AQ27" i="25" l="1"/>
  <c r="AP42" i="25"/>
  <c r="AQ42" i="25" s="1"/>
  <c r="AJ42" i="32"/>
  <c r="AK42" i="32" s="1"/>
  <c r="AK27" i="32"/>
  <c r="R52" i="20"/>
  <c r="AP27" i="28"/>
  <c r="AQ20" i="28"/>
  <c r="AP42" i="28" l="1"/>
  <c r="AQ42" i="28" s="1"/>
  <c r="AQ27" i="28"/>
  <c r="AP27" i="22" l="1"/>
  <c r="AP54" i="22" s="1"/>
  <c r="AR27" i="22" l="1"/>
  <c r="AQ27" i="20" l="1"/>
</calcChain>
</file>

<file path=xl/comments1.xml><?xml version="1.0" encoding="utf-8"?>
<comments xmlns="http://schemas.openxmlformats.org/spreadsheetml/2006/main">
  <authors>
    <author>anne.joseau</author>
  </authors>
  <commentList>
    <comment ref="AN15" authorId="0" shapeId="0">
      <text>
        <r>
          <rPr>
            <b/>
            <sz val="9"/>
            <color indexed="81"/>
            <rFont val="Tahoma"/>
            <family val="2"/>
          </rPr>
          <t>anne.joseau:</t>
        </r>
        <r>
          <rPr>
            <sz val="9"/>
            <color indexed="81"/>
            <rFont val="Tahoma"/>
            <family val="2"/>
          </rPr>
          <t xml:space="preserve">
collecte au 18/07/17</t>
        </r>
      </text>
    </comment>
  </commentList>
</comments>
</file>

<file path=xl/sharedStrings.xml><?xml version="1.0" encoding="utf-8"?>
<sst xmlns="http://schemas.openxmlformats.org/spreadsheetml/2006/main" count="1198" uniqueCount="265">
  <si>
    <t>En milliers de tonnes</t>
  </si>
  <si>
    <t>RESSOURCES</t>
  </si>
  <si>
    <t>stock de report</t>
  </si>
  <si>
    <t>pays tiers</t>
  </si>
  <si>
    <t>TOTAL DES RESSOURCES</t>
  </si>
  <si>
    <t>UTILISATIONS</t>
  </si>
  <si>
    <t>incorporation</t>
  </si>
  <si>
    <t>utilisation semences</t>
  </si>
  <si>
    <t>freinte</t>
  </si>
  <si>
    <t>Exportations</t>
  </si>
  <si>
    <t>UE</t>
  </si>
  <si>
    <t>dont stock collecteurs</t>
  </si>
  <si>
    <t>dont stock FAB</t>
  </si>
  <si>
    <t>dont stock Triturateurs</t>
  </si>
  <si>
    <t>extrusion</t>
  </si>
  <si>
    <t>autres utilisations (alimentation humaine)</t>
  </si>
  <si>
    <t xml:space="preserve">2009-10 </t>
  </si>
  <si>
    <t>alimentation humaine</t>
  </si>
  <si>
    <t xml:space="preserve">2008-09 </t>
  </si>
  <si>
    <t>2007-08</t>
  </si>
  <si>
    <t>Importations</t>
  </si>
  <si>
    <t xml:space="preserve">collecte </t>
  </si>
  <si>
    <r>
      <t xml:space="preserve">2012-13 </t>
    </r>
    <r>
      <rPr>
        <sz val="9"/>
        <rFont val="Arial"/>
        <family val="2"/>
      </rPr>
      <t>Prévisionnel      mars  2013</t>
    </r>
  </si>
  <si>
    <r>
      <t xml:space="preserve">2012-13 </t>
    </r>
    <r>
      <rPr>
        <sz val="9"/>
        <rFont val="Arial"/>
        <family val="2"/>
      </rPr>
      <t>Prévisionnel     juin  2013</t>
    </r>
  </si>
  <si>
    <r>
      <t xml:space="preserve">2013-14  </t>
    </r>
    <r>
      <rPr>
        <sz val="9"/>
        <rFont val="Arial"/>
        <family val="2"/>
      </rPr>
      <t>Prévisionnel     juin  2013</t>
    </r>
  </si>
  <si>
    <r>
      <t xml:space="preserve">2013-14  </t>
    </r>
    <r>
      <rPr>
        <sz val="9"/>
        <rFont val="Arial"/>
        <family val="2"/>
      </rPr>
      <t>Prévisionnel     septembre  2013</t>
    </r>
  </si>
  <si>
    <r>
      <t xml:space="preserve">2013-14  </t>
    </r>
    <r>
      <rPr>
        <sz val="9"/>
        <rFont val="Arial"/>
        <family val="2"/>
      </rPr>
      <t>Prévisionnel     janvier  2014</t>
    </r>
  </si>
  <si>
    <r>
      <t xml:space="preserve">2013-14  </t>
    </r>
    <r>
      <rPr>
        <sz val="9"/>
        <rFont val="Arial"/>
        <family val="2"/>
      </rPr>
      <t>Prévisionnel     mars  2014</t>
    </r>
  </si>
  <si>
    <t>2006/07</t>
  </si>
  <si>
    <t>% réalisation par rapport à la collecte prévue</t>
  </si>
  <si>
    <t>% par rapport à la production</t>
  </si>
  <si>
    <t>ajustement</t>
  </si>
  <si>
    <r>
      <t xml:space="preserve">2013-14 </t>
    </r>
    <r>
      <rPr>
        <sz val="9"/>
        <rFont val="Arial"/>
        <family val="2"/>
      </rPr>
      <t>Prévisionnel mai 2014</t>
    </r>
  </si>
  <si>
    <r>
      <t>2014-15</t>
    </r>
    <r>
      <rPr>
        <sz val="9"/>
        <rFont val="Arial"/>
        <family val="2"/>
      </rPr>
      <t xml:space="preserve"> Première estimation mai 2014</t>
    </r>
  </si>
  <si>
    <t xml:space="preserve">2010-11         </t>
  </si>
  <si>
    <r>
      <t xml:space="preserve">2014-15     </t>
    </r>
    <r>
      <rPr>
        <sz val="9"/>
        <rFont val="Arial"/>
        <family val="2"/>
      </rPr>
      <t>Prévisionnel octobre  2014</t>
    </r>
  </si>
  <si>
    <r>
      <t xml:space="preserve">2014-15     </t>
    </r>
    <r>
      <rPr>
        <sz val="9"/>
        <rFont val="Arial"/>
        <family val="2"/>
      </rPr>
      <t>Prévisionnel janvier  2015</t>
    </r>
  </si>
  <si>
    <t>utilisation humaine et animale</t>
  </si>
  <si>
    <r>
      <t>2015-16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Prévisionnel avril  2015</t>
    </r>
  </si>
  <si>
    <t xml:space="preserve">2011-12 </t>
  </si>
  <si>
    <t>2012-13</t>
  </si>
  <si>
    <r>
      <t>2015-16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Prévisionnel juillet 2015</t>
    </r>
  </si>
  <si>
    <t>²</t>
  </si>
  <si>
    <r>
      <t>2014-15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Provisoire juillet 2015</t>
    </r>
  </si>
  <si>
    <t>Collecte réalisée au 01/08</t>
  </si>
  <si>
    <t xml:space="preserve">UE  </t>
  </si>
  <si>
    <t>vérification</t>
  </si>
  <si>
    <t>Milliers de tonnes</t>
  </si>
  <si>
    <r>
      <t xml:space="preserve">2011/12    </t>
    </r>
    <r>
      <rPr>
        <sz val="9"/>
        <rFont val="Arial"/>
        <family val="2"/>
      </rPr>
      <t xml:space="preserve"> </t>
    </r>
  </si>
  <si>
    <t xml:space="preserve">2012/13 </t>
  </si>
  <si>
    <r>
      <t>2013/14</t>
    </r>
    <r>
      <rPr>
        <sz val="9"/>
        <rFont val="Arial"/>
        <family val="2"/>
      </rPr>
      <t/>
    </r>
  </si>
  <si>
    <r>
      <t>2014/15</t>
    </r>
    <r>
      <rPr>
        <b/>
        <sz val="8"/>
        <rFont val="Arial"/>
        <family val="2"/>
      </rPr>
      <t xml:space="preserve"> </t>
    </r>
  </si>
  <si>
    <r>
      <t>2015/16</t>
    </r>
    <r>
      <rPr>
        <b/>
        <sz val="8"/>
        <rFont val="Arial"/>
        <family val="2"/>
      </rPr>
      <t/>
    </r>
  </si>
  <si>
    <t>Evolution %</t>
  </si>
  <si>
    <t>(SSP)</t>
  </si>
  <si>
    <t>(FranceAgriMer)</t>
  </si>
  <si>
    <t xml:space="preserve">Production (1000 t)  </t>
  </si>
  <si>
    <t xml:space="preserve">Surfaces (1000 ha) </t>
  </si>
  <si>
    <t xml:space="preserve">Rendement (qxha)     </t>
  </si>
  <si>
    <t>Ressources pour le Marché</t>
  </si>
  <si>
    <t>Autoconsommation et stock à la ferme</t>
  </si>
  <si>
    <t xml:space="preserve">en % de la production </t>
  </si>
  <si>
    <t xml:space="preserve">2010-11   </t>
  </si>
  <si>
    <t>Prév nov 11</t>
  </si>
  <si>
    <t>2010-11</t>
  </si>
  <si>
    <t xml:space="preserve"> Prév juin 11</t>
  </si>
  <si>
    <t>Prév sept 10</t>
  </si>
  <si>
    <t>2011-12</t>
  </si>
  <si>
    <t xml:space="preserve"> Prév fev 12</t>
  </si>
  <si>
    <t xml:space="preserve"> Prév sept  2012</t>
  </si>
  <si>
    <t xml:space="preserve">2012-13 </t>
  </si>
  <si>
    <t>Prév janv 2013</t>
  </si>
  <si>
    <t xml:space="preserve"> Prév juin 12</t>
  </si>
  <si>
    <t>Utilisations intérieures</t>
  </si>
  <si>
    <t>Total des Utilisations</t>
  </si>
  <si>
    <t>2007/08</t>
  </si>
  <si>
    <t xml:space="preserve">2008/09 </t>
  </si>
  <si>
    <t>2009/10</t>
  </si>
  <si>
    <r>
      <t xml:space="preserve">2010/11         </t>
    </r>
    <r>
      <rPr>
        <b/>
        <sz val="8"/>
        <rFont val="Arial"/>
        <family val="2"/>
      </rPr>
      <t/>
    </r>
  </si>
  <si>
    <t xml:space="preserve"> Prév juin 2011</t>
  </si>
  <si>
    <t>2010/11</t>
  </si>
  <si>
    <t>2011/12</t>
  </si>
  <si>
    <t xml:space="preserve"> Prév nov 2011</t>
  </si>
  <si>
    <t xml:space="preserve"> Prév fev 2012</t>
  </si>
  <si>
    <t xml:space="preserve"> Prév juin  2012</t>
  </si>
  <si>
    <r>
      <t>2011/12</t>
    </r>
    <r>
      <rPr>
        <b/>
        <sz val="8"/>
        <rFont val="Arial"/>
        <family val="2"/>
      </rPr>
      <t xml:space="preserve"> </t>
    </r>
  </si>
  <si>
    <t>2012/13</t>
  </si>
  <si>
    <t>Prév mars  2013</t>
  </si>
  <si>
    <t>Prév juin  2013</t>
  </si>
  <si>
    <r>
      <t>2012/13</t>
    </r>
    <r>
      <rPr>
        <b/>
        <sz val="8"/>
        <rFont val="Arial"/>
        <family val="2"/>
      </rPr>
      <t xml:space="preserve"> </t>
    </r>
  </si>
  <si>
    <t xml:space="preserve"> Prév juin  2013</t>
  </si>
  <si>
    <t>Prév sept 2013</t>
  </si>
  <si>
    <r>
      <t>2013/14</t>
    </r>
    <r>
      <rPr>
        <sz val="9"/>
        <rFont val="Arial"/>
        <family val="2"/>
      </rPr>
      <t xml:space="preserve"> </t>
    </r>
  </si>
  <si>
    <t>Prév janv 2014</t>
  </si>
  <si>
    <t>2013/14</t>
  </si>
  <si>
    <t xml:space="preserve"> Prév mars  2014</t>
  </si>
  <si>
    <t xml:space="preserve">2013/14 </t>
  </si>
  <si>
    <t>Prév mai 2014</t>
  </si>
  <si>
    <r>
      <t>2014/15</t>
    </r>
    <r>
      <rPr>
        <sz val="9"/>
        <rFont val="Arial"/>
        <family val="2"/>
      </rPr>
      <t xml:space="preserve"> </t>
    </r>
  </si>
  <si>
    <t>1ère est mai 2015</t>
  </si>
  <si>
    <t>Prév oct 2014</t>
  </si>
  <si>
    <t>Prév janv 2015</t>
  </si>
  <si>
    <t>2014/15</t>
  </si>
  <si>
    <t xml:space="preserve">  Prév juillet 2015</t>
  </si>
  <si>
    <r>
      <t xml:space="preserve">2014/15  </t>
    </r>
    <r>
      <rPr>
        <sz val="8"/>
        <rFont val="Arial"/>
        <family val="2"/>
      </rPr>
      <t>Provisoire  septembre 2015</t>
    </r>
  </si>
  <si>
    <t xml:space="preserve"> Prév avril 2015</t>
  </si>
  <si>
    <r>
      <t>2015-16</t>
    </r>
    <r>
      <rPr>
        <b/>
        <sz val="8"/>
        <rFont val="Arial"/>
        <family val="2"/>
      </rPr>
      <t xml:space="preserve"> </t>
    </r>
  </si>
  <si>
    <t>Prévisionnel juillet 2015</t>
  </si>
  <si>
    <t xml:space="preserve">2009/10 </t>
  </si>
  <si>
    <t xml:space="preserve">2010/11 </t>
  </si>
  <si>
    <t>Prév sept10</t>
  </si>
  <si>
    <t>Prov juin 2011</t>
  </si>
  <si>
    <t xml:space="preserve">2010/11        </t>
  </si>
  <si>
    <t xml:space="preserve"> Prév sept 2011</t>
  </si>
  <si>
    <t xml:space="preserve">2011/12 </t>
  </si>
  <si>
    <t>Prév nov 2011</t>
  </si>
  <si>
    <t xml:space="preserve"> Prév juin 2012</t>
  </si>
  <si>
    <t xml:space="preserve">2012/13     </t>
  </si>
  <si>
    <t xml:space="preserve">  Prévi sept 2012</t>
  </si>
  <si>
    <t xml:space="preserve">2012/13       </t>
  </si>
  <si>
    <t xml:space="preserve">2012/13      </t>
  </si>
  <si>
    <t xml:space="preserve"> Prév mars 2013</t>
  </si>
  <si>
    <t>Prév juin 2013</t>
  </si>
  <si>
    <t xml:space="preserve">2013/14     </t>
  </si>
  <si>
    <t xml:space="preserve">  Prév juin 2013</t>
  </si>
  <si>
    <t xml:space="preserve">2013/14      </t>
  </si>
  <si>
    <t xml:space="preserve"> Prév janv 2014</t>
  </si>
  <si>
    <t xml:space="preserve"> Prév mars 2014</t>
  </si>
  <si>
    <r>
      <t>2014/15</t>
    </r>
    <r>
      <rPr>
        <b/>
        <sz val="8"/>
        <rFont val="Arial"/>
        <family val="2"/>
      </rPr>
      <t/>
    </r>
  </si>
  <si>
    <t xml:space="preserve"> Prem est mai 2014</t>
  </si>
  <si>
    <t xml:space="preserve"> Prév oct 2014</t>
  </si>
  <si>
    <r>
      <t>2014/5</t>
    </r>
    <r>
      <rPr>
        <b/>
        <sz val="8"/>
        <rFont val="Arial"/>
        <family val="2"/>
      </rPr>
      <t xml:space="preserve"> </t>
    </r>
  </si>
  <si>
    <t>Prév janvier 2015</t>
  </si>
  <si>
    <t xml:space="preserve"> Prév mai 2015</t>
  </si>
  <si>
    <t>Prév juillet 2015</t>
  </si>
  <si>
    <r>
      <t>2015/16</t>
    </r>
    <r>
      <rPr>
        <b/>
        <sz val="8"/>
        <rFont val="Arial"/>
        <family val="2"/>
      </rPr>
      <t xml:space="preserve"> </t>
    </r>
  </si>
  <si>
    <t xml:space="preserve"> </t>
  </si>
  <si>
    <t xml:space="preserve"> Prév sept 10</t>
  </si>
  <si>
    <t xml:space="preserve">2010/2011 </t>
  </si>
  <si>
    <r>
      <t xml:space="preserve">2010/11       </t>
    </r>
    <r>
      <rPr>
        <sz val="8"/>
        <rFont val="Arial"/>
        <family val="2"/>
      </rPr>
      <t/>
    </r>
  </si>
  <si>
    <t>Prév fév  2012</t>
  </si>
  <si>
    <t>Prév juin  2012</t>
  </si>
  <si>
    <t xml:space="preserve"> Pré sept 2012</t>
  </si>
  <si>
    <t>Prév  juin 2013</t>
  </si>
  <si>
    <r>
      <t>2012/13</t>
    </r>
    <r>
      <rPr>
        <b/>
        <sz val="8"/>
        <rFont val="Arial"/>
        <family val="2"/>
      </rPr>
      <t/>
    </r>
  </si>
  <si>
    <r>
      <t xml:space="preserve">2013/14 </t>
    </r>
    <r>
      <rPr>
        <sz val="9"/>
        <rFont val="Arial"/>
        <family val="2"/>
      </rPr>
      <t/>
    </r>
  </si>
  <si>
    <t>Prév  sept 2013</t>
  </si>
  <si>
    <t>Prév mars 2014</t>
  </si>
  <si>
    <r>
      <t>2013/14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/>
    </r>
  </si>
  <si>
    <r>
      <t>2013/14</t>
    </r>
    <r>
      <rPr>
        <b/>
        <sz val="8"/>
        <rFont val="Arial"/>
        <family val="2"/>
      </rPr>
      <t xml:space="preserve"> </t>
    </r>
  </si>
  <si>
    <r>
      <t>2013/14</t>
    </r>
    <r>
      <rPr>
        <b/>
        <sz val="8"/>
        <rFont val="Arial"/>
        <family val="2"/>
      </rPr>
      <t/>
    </r>
  </si>
  <si>
    <t>1ère est mai 2014</t>
  </si>
  <si>
    <t xml:space="preserve">2014/15 </t>
  </si>
  <si>
    <t xml:space="preserve"> Prov sept 2015</t>
  </si>
  <si>
    <t>2015/16</t>
  </si>
  <si>
    <t xml:space="preserve">2015/16 </t>
  </si>
  <si>
    <t>Prév sept 2015</t>
  </si>
  <si>
    <t>Evolution  %</t>
  </si>
  <si>
    <t xml:space="preserve">2009/10      </t>
  </si>
  <si>
    <r>
      <t xml:space="preserve">2010/11      </t>
    </r>
    <r>
      <rPr>
        <sz val="8"/>
        <rFont val="Arial"/>
        <family val="2"/>
      </rPr>
      <t xml:space="preserve">         </t>
    </r>
  </si>
  <si>
    <t>Prev sept 2011</t>
  </si>
  <si>
    <t>Prev nov 2011</t>
  </si>
  <si>
    <t>Prev fev  2012</t>
  </si>
  <si>
    <t>Prev juin 2012</t>
  </si>
  <si>
    <t>Prév sept 2012</t>
  </si>
  <si>
    <t xml:space="preserve"> Prév janv 2013</t>
  </si>
  <si>
    <t>Prév mars 2013</t>
  </si>
  <si>
    <t>Prév janvier 2014</t>
  </si>
  <si>
    <t xml:space="preserve"> Prév mai 2014</t>
  </si>
  <si>
    <t xml:space="preserve">2014/15  </t>
  </si>
  <si>
    <t>Prév oc 2014</t>
  </si>
  <si>
    <t>Prév jan 2015</t>
  </si>
  <si>
    <r>
      <t>2014/15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 </t>
    </r>
  </si>
  <si>
    <t xml:space="preserve">2015-16 </t>
  </si>
  <si>
    <t>Prév avril 2015</t>
  </si>
  <si>
    <t>Prév  juillet  2015</t>
  </si>
  <si>
    <t>Ratio stocks/utilisations globales</t>
  </si>
  <si>
    <t>Sources: Estimations FranceAgriMer- Commission bilans- Douanes- GNIS</t>
  </si>
  <si>
    <r>
      <t>trituration</t>
    </r>
    <r>
      <rPr>
        <vertAlign val="superscript"/>
        <sz val="11"/>
        <rFont val="Arial"/>
        <family val="2"/>
      </rPr>
      <t>(1)</t>
    </r>
  </si>
  <si>
    <r>
      <t xml:space="preserve">STOCKS au 30 juin </t>
    </r>
    <r>
      <rPr>
        <b/>
        <vertAlign val="superscript"/>
        <sz val="14"/>
        <color indexed="9"/>
        <rFont val="Arial"/>
        <family val="2"/>
      </rPr>
      <t>(2)</t>
    </r>
  </si>
  <si>
    <r>
      <t>(1)</t>
    </r>
    <r>
      <rPr>
        <sz val="10"/>
        <rFont val="Arial"/>
        <family val="2"/>
      </rPr>
      <t xml:space="preserve"> Y compris non adhérents à Huileries de France</t>
    </r>
  </si>
  <si>
    <r>
      <t xml:space="preserve">trituration </t>
    </r>
    <r>
      <rPr>
        <vertAlign val="superscript"/>
        <sz val="11"/>
        <rFont val="Arial"/>
        <family val="2"/>
      </rPr>
      <t>(1)</t>
    </r>
  </si>
  <si>
    <r>
      <t>STOCKS au 30 juin</t>
    </r>
    <r>
      <rPr>
        <b/>
        <vertAlign val="superscript"/>
        <sz val="14"/>
        <color indexed="9"/>
        <rFont val="Arial"/>
        <family val="2"/>
      </rPr>
      <t xml:space="preserve"> (2)</t>
    </r>
  </si>
  <si>
    <r>
      <t xml:space="preserve">incorporation </t>
    </r>
    <r>
      <rPr>
        <vertAlign val="superscript"/>
        <sz val="11"/>
        <rFont val="Arial"/>
        <family val="2"/>
      </rPr>
      <t>(1)</t>
    </r>
  </si>
  <si>
    <r>
      <t>(1)</t>
    </r>
    <r>
      <rPr>
        <sz val="10"/>
        <rFont val="Arial"/>
        <family val="2"/>
      </rPr>
      <t xml:space="preserve"> Chiffres issus des déclarations des FAB - état 13</t>
    </r>
  </si>
  <si>
    <r>
      <t>autres</t>
    </r>
    <r>
      <rPr>
        <vertAlign val="superscript"/>
        <sz val="11"/>
        <rFont val="Arial"/>
        <family val="2"/>
      </rPr>
      <t xml:space="preserve"> (2)</t>
    </r>
  </si>
  <si>
    <r>
      <t>STOCKS au 30 juin</t>
    </r>
    <r>
      <rPr>
        <b/>
        <vertAlign val="superscript"/>
        <sz val="14"/>
        <color indexed="9"/>
        <rFont val="Arial"/>
        <family val="2"/>
      </rPr>
      <t xml:space="preserve"> (3)</t>
    </r>
  </si>
  <si>
    <r>
      <t xml:space="preserve">(2) </t>
    </r>
    <r>
      <rPr>
        <sz val="10"/>
        <rFont val="Arial"/>
        <family val="2"/>
      </rPr>
      <t>Y compris achats directs des éleveurs auprès des collecteurs</t>
    </r>
  </si>
  <si>
    <r>
      <t>incorporation</t>
    </r>
    <r>
      <rPr>
        <vertAlign val="superscript"/>
        <sz val="11"/>
        <rFont val="Arial"/>
        <family val="2"/>
      </rPr>
      <t xml:space="preserve"> (1)</t>
    </r>
  </si>
  <si>
    <r>
      <t>STOCKS au 30 juin</t>
    </r>
    <r>
      <rPr>
        <b/>
        <vertAlign val="superscript"/>
        <sz val="14"/>
        <color indexed="9"/>
        <rFont val="Arial"/>
        <family val="2"/>
      </rPr>
      <t>(3)</t>
    </r>
  </si>
  <si>
    <t>Prév janv 2016</t>
  </si>
  <si>
    <t>en % de la production prév</t>
  </si>
  <si>
    <t xml:space="preserve">en % de la production prév </t>
  </si>
  <si>
    <t>440 ttx</t>
  </si>
  <si>
    <t>fab</t>
  </si>
  <si>
    <t>autres</t>
  </si>
  <si>
    <t xml:space="preserve">UE*  </t>
  </si>
  <si>
    <t>*compte tenu pour la campagne 2014/15 d'erreurs manifestes des douanes (Espagne et Pays-Bas)</t>
  </si>
  <si>
    <t>Prév avril 2016</t>
  </si>
  <si>
    <t>Collecte réalisée au 01/03</t>
  </si>
  <si>
    <t xml:space="preserve">2016-17 </t>
  </si>
  <si>
    <t>2016-17 / 2015-16</t>
  </si>
  <si>
    <t>Collecte réalisée au 01/04</t>
  </si>
  <si>
    <t>2016/17</t>
  </si>
  <si>
    <t>16-17 / 15-16</t>
  </si>
  <si>
    <r>
      <t>2016-17</t>
    </r>
    <r>
      <rPr>
        <b/>
        <sz val="8"/>
        <rFont val="Arial"/>
        <family val="2"/>
      </rPr>
      <t xml:space="preserve"> </t>
    </r>
  </si>
  <si>
    <t>2015-16</t>
  </si>
  <si>
    <t>Prév juil 2016</t>
  </si>
  <si>
    <r>
      <t xml:space="preserve"> </t>
    </r>
    <r>
      <rPr>
        <vertAlign val="superscript"/>
        <sz val="10"/>
        <rFont val="Arial"/>
        <family val="2"/>
      </rPr>
      <t>(2)</t>
    </r>
    <r>
      <rPr>
        <sz val="10"/>
        <rFont val="Arial"/>
        <family val="2"/>
      </rPr>
      <t xml:space="preserve"> Stock physique d'équilibre qui peut ne pas être intégralement disponible sur le marché (stock outil, engagements à la vente…)</t>
    </r>
  </si>
  <si>
    <r>
      <t xml:space="preserve"> (2)</t>
    </r>
    <r>
      <rPr>
        <sz val="10"/>
        <rFont val="Arial"/>
        <family val="2"/>
      </rPr>
      <t xml:space="preserve"> Stock physique d'équilibre qui peut ne pas être intégralement disponible sur le marché (stock outil, engagements à la vente…)</t>
    </r>
  </si>
  <si>
    <t>(FAM)</t>
  </si>
  <si>
    <r>
      <t xml:space="preserve"> (3)</t>
    </r>
    <r>
      <rPr>
        <sz val="10"/>
        <rFont val="Arial"/>
        <family val="2"/>
      </rPr>
      <t xml:space="preserve"> Stock physique d'équilibre qui peut ne pas être intégralement disponible sur le marché (stock outil, engagements à la vente…)</t>
    </r>
  </si>
  <si>
    <t>Prév sept 2016</t>
  </si>
  <si>
    <t>2016-17</t>
  </si>
  <si>
    <r>
      <t>UE</t>
    </r>
    <r>
      <rPr>
        <vertAlign val="superscript"/>
        <sz val="10"/>
        <color indexed="8"/>
        <rFont val="Arial"/>
        <family val="2"/>
      </rPr>
      <t xml:space="preserve"> (1)</t>
    </r>
  </si>
  <si>
    <r>
      <t>(1)</t>
    </r>
    <r>
      <rPr>
        <sz val="10"/>
        <rFont val="Arial"/>
        <family val="2"/>
      </rPr>
      <t xml:space="preserve"> Méthodologie douanière : "Dans les échanges intracommunautaries, si le pays d'origine n'est pas connu, le pays de provenance de la marchandise est privilégié".</t>
    </r>
  </si>
  <si>
    <r>
      <t>UE</t>
    </r>
    <r>
      <rPr>
        <vertAlign val="superscript"/>
        <sz val="10"/>
        <color indexed="8"/>
        <rFont val="Arial"/>
        <family val="2"/>
      </rPr>
      <t xml:space="preserve"> (1)  </t>
    </r>
  </si>
  <si>
    <t>trituration</t>
  </si>
  <si>
    <r>
      <t>(2)</t>
    </r>
    <r>
      <rPr>
        <sz val="10"/>
        <rFont val="Arial"/>
        <family val="2"/>
      </rPr>
      <t xml:space="preserve"> Stock physique d'équilibre, qui peut ne pas être intégralement disponible sur le marché (stock outil, engagements à la vente…).</t>
    </r>
  </si>
  <si>
    <r>
      <t xml:space="preserve">incorporation </t>
    </r>
    <r>
      <rPr>
        <vertAlign val="superscript"/>
        <sz val="11"/>
        <rFont val="Arial"/>
        <family val="2"/>
      </rPr>
      <t>(2)</t>
    </r>
  </si>
  <si>
    <r>
      <t>(2)</t>
    </r>
    <r>
      <rPr>
        <sz val="10"/>
        <rFont val="Arial"/>
        <family val="2"/>
      </rPr>
      <t xml:space="preserve"> Chiffres issus des déclarations des FAB - état 13</t>
    </r>
  </si>
  <si>
    <r>
      <t xml:space="preserve">(3) </t>
    </r>
    <r>
      <rPr>
        <sz val="10"/>
        <rFont val="Arial"/>
        <family val="2"/>
      </rPr>
      <t>Y compris achats directs des éleveurs auprès des collecteurs</t>
    </r>
  </si>
  <si>
    <r>
      <t>autres</t>
    </r>
    <r>
      <rPr>
        <vertAlign val="superscript"/>
        <sz val="11"/>
        <rFont val="Arial"/>
        <family val="2"/>
      </rPr>
      <t xml:space="preserve"> (3)</t>
    </r>
  </si>
  <si>
    <r>
      <t>STOCKS au 30 juin</t>
    </r>
    <r>
      <rPr>
        <b/>
        <vertAlign val="superscript"/>
        <sz val="14"/>
        <color indexed="9"/>
        <rFont val="Arial"/>
        <family val="2"/>
      </rPr>
      <t xml:space="preserve"> (4)</t>
    </r>
  </si>
  <si>
    <r>
      <t>incorporation</t>
    </r>
    <r>
      <rPr>
        <vertAlign val="superscript"/>
        <sz val="11"/>
        <rFont val="Arial"/>
        <family val="2"/>
      </rPr>
      <t xml:space="preserve"> (2)</t>
    </r>
  </si>
  <si>
    <r>
      <t>STOCKS au 30 juin</t>
    </r>
    <r>
      <rPr>
        <b/>
        <vertAlign val="superscript"/>
        <sz val="14"/>
        <color indexed="9"/>
        <rFont val="Arial"/>
        <family val="2"/>
      </rPr>
      <t>(4)</t>
    </r>
  </si>
  <si>
    <r>
      <t>(4)</t>
    </r>
    <r>
      <rPr>
        <sz val="10"/>
        <rFont val="Arial"/>
        <family val="2"/>
      </rPr>
      <t xml:space="preserve"> Stock physique d'équilibre, qui peut ne pas être intégralement disponible sur le marché (stock outil, engagements à la vente…).</t>
    </r>
  </si>
  <si>
    <r>
      <t>(3)</t>
    </r>
    <r>
      <rPr>
        <sz val="10"/>
        <rFont val="Arial"/>
        <family val="2"/>
      </rPr>
      <t xml:space="preserve"> Stock physique d'équilibre, qui peut ne pas être intégralement disponible sur le marché (stock outil, engagements à la vente…).</t>
    </r>
  </si>
  <si>
    <t xml:space="preserve">Provisoire </t>
  </si>
  <si>
    <t>Provisoire</t>
  </si>
  <si>
    <t>ND</t>
  </si>
  <si>
    <t>TOTAL des Ressources</t>
  </si>
  <si>
    <t>Total des Ressources</t>
  </si>
  <si>
    <r>
      <t xml:space="preserve">318 </t>
    </r>
    <r>
      <rPr>
        <b/>
        <vertAlign val="superscript"/>
        <sz val="14"/>
        <color indexed="9"/>
        <rFont val="Arial"/>
        <family val="2"/>
      </rPr>
      <t>(3)</t>
    </r>
  </si>
  <si>
    <r>
      <t>390</t>
    </r>
    <r>
      <rPr>
        <b/>
        <vertAlign val="superscript"/>
        <sz val="14"/>
        <color indexed="9"/>
        <rFont val="Arial"/>
        <family val="2"/>
      </rPr>
      <t xml:space="preserve"> (3)</t>
    </r>
  </si>
  <si>
    <t>TOTAL des ressources</t>
  </si>
  <si>
    <r>
      <t>(1)</t>
    </r>
    <r>
      <rPr>
        <sz val="10"/>
        <rFont val="Arial"/>
        <family val="2"/>
      </rPr>
      <t xml:space="preserve"> Méthodologie douanière : "Dans les échanges intracommunautaires, si le pays d'origine n'est pas connu, le pays de provenance de la marchandise est privilégié".</t>
    </r>
  </si>
  <si>
    <t>Prévi. sept</t>
  </si>
  <si>
    <t>Prévi. janv</t>
  </si>
  <si>
    <t>Prévi sept</t>
  </si>
  <si>
    <t>Prévi janv</t>
  </si>
  <si>
    <t>Prévi. avril</t>
  </si>
  <si>
    <t>Prévi avril</t>
  </si>
  <si>
    <r>
      <t>(3)</t>
    </r>
    <r>
      <rPr>
        <sz val="10"/>
        <rFont val="Arial"/>
        <family val="2"/>
      </rPr>
      <t xml:space="preserve"> Les données d'importations et de trituration sont non déterminées et, en conséquence, ne figurent pas respectivement dans le total des ressources et dans celui des utilisations.</t>
    </r>
  </si>
  <si>
    <t>(1) Méthodologie douanière : "Dans les échanges intracommunautaires</t>
  </si>
  <si>
    <t xml:space="preserve"> si le pays d'origine n'est pas connu</t>
  </si>
  <si>
    <t xml:space="preserve"> le pays de provenance de la marchandise est privilégié". Au cas particulier</t>
  </si>
  <si>
    <t xml:space="preserve"> il s'agit de marchandises originaires de pays tiers transitant par un autre Etat membre de l'UE.</t>
  </si>
  <si>
    <t>Au cas particulier, il s'agit de marchandises originaires de pays tiers transitant par un autre Etat membre de l'UE.</t>
  </si>
  <si>
    <r>
      <t xml:space="preserve">(1) </t>
    </r>
    <r>
      <rPr>
        <sz val="10"/>
        <rFont val="Arial"/>
        <family val="2"/>
      </rPr>
      <t xml:space="preserve">Méthodologie douanière : "Dans les échanges intracommunautaires, si le pays d'origine n'est pas connu, le pays de provenance de la marchandise est privilégié". </t>
    </r>
  </si>
  <si>
    <t>2017/18</t>
  </si>
  <si>
    <t>Collecte réalisée au 01/08/2017</t>
  </si>
  <si>
    <t>provisoire</t>
  </si>
  <si>
    <t>prév mars 2013</t>
  </si>
  <si>
    <t>prév juin 2013</t>
  </si>
  <si>
    <t>Prévisionnel     juin  2013</t>
  </si>
  <si>
    <r>
      <t xml:space="preserve">  </t>
    </r>
    <r>
      <rPr>
        <sz val="9"/>
        <rFont val="Arial"/>
        <family val="2"/>
      </rPr>
      <t>Prévisionnel     septembre  2013</t>
    </r>
  </si>
  <si>
    <t>Prévisionnel     janvier  2014</t>
  </si>
  <si>
    <t>Prévisionnel     mars  2014</t>
  </si>
  <si>
    <t>Prévisionnel mai 2014</t>
  </si>
  <si>
    <t>vérif équil bilan</t>
  </si>
  <si>
    <t>Prév. juillet</t>
  </si>
  <si>
    <t>Prév. Octobre</t>
  </si>
  <si>
    <t>Prév. Juillet</t>
  </si>
  <si>
    <t>Prév. octobre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</si>
</sst>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.0%"/>
    <numFmt numFmtId="167" formatCode="\ #,##0"/>
  </numFmts>
  <fonts count="46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i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10"/>
      <name val="Arial"/>
      <family val="2"/>
    </font>
    <font>
      <sz val="9"/>
      <color indexed="9"/>
      <name val="Arial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4"/>
      <color indexed="9"/>
      <name val="Arial"/>
      <family val="2"/>
    </font>
    <font>
      <sz val="8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1"/>
      <color indexed="8"/>
      <name val="Arial"/>
      <family val="2"/>
    </font>
    <font>
      <sz val="11"/>
      <color indexed="12"/>
      <name val="Arial"/>
      <family val="2"/>
    </font>
    <font>
      <i/>
      <sz val="10"/>
      <name val="Arial"/>
      <family val="2"/>
    </font>
    <font>
      <b/>
      <sz val="11"/>
      <color indexed="8"/>
      <name val="Arial"/>
      <family val="2"/>
    </font>
    <font>
      <b/>
      <sz val="9"/>
      <color indexed="22"/>
      <name val="Arial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i/>
      <sz val="11"/>
      <color indexed="8"/>
      <name val="Arial"/>
      <family val="2"/>
    </font>
    <font>
      <vertAlign val="superscript"/>
      <sz val="11"/>
      <name val="Arial"/>
      <family val="2"/>
    </font>
    <font>
      <vertAlign val="superscript"/>
      <sz val="10"/>
      <name val="Arial"/>
      <family val="2"/>
    </font>
    <font>
      <b/>
      <vertAlign val="superscript"/>
      <sz val="14"/>
      <color indexed="9"/>
      <name val="Arial"/>
      <family val="2"/>
    </font>
    <font>
      <b/>
      <sz val="10"/>
      <color indexed="12"/>
      <name val="Arial"/>
      <family val="2"/>
    </font>
    <font>
      <i/>
      <sz val="11"/>
      <color indexed="9"/>
      <name val="Arial"/>
      <family val="2"/>
    </font>
    <font>
      <sz val="10"/>
      <name val="Arial"/>
      <family val="2"/>
    </font>
    <font>
      <vertAlign val="superscript"/>
      <sz val="10"/>
      <color indexed="8"/>
      <name val="Arial"/>
      <family val="2"/>
    </font>
    <font>
      <b/>
      <sz val="9"/>
      <color indexed="9"/>
      <name val="Arial"/>
      <family val="2"/>
    </font>
    <font>
      <b/>
      <sz val="14"/>
      <name val="Arial"/>
      <family val="2"/>
    </font>
    <font>
      <b/>
      <sz val="8"/>
      <color indexed="14"/>
      <name val="Arial"/>
      <family val="2"/>
    </font>
    <font>
      <b/>
      <sz val="12"/>
      <color indexed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50"/>
        <bgColor indexed="27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27"/>
      </patternFill>
    </fill>
    <fill>
      <patternFill patternType="solid">
        <fgColor indexed="8"/>
        <bgColor indexed="26"/>
      </patternFill>
    </fill>
    <fill>
      <patternFill patternType="solid">
        <fgColor indexed="51"/>
        <bgColor indexed="64"/>
      </patternFill>
    </fill>
    <fill>
      <patternFill patternType="solid">
        <fgColor indexed="51"/>
        <bgColor indexed="26"/>
      </patternFill>
    </fill>
    <fill>
      <patternFill patternType="solid">
        <fgColor indexed="44"/>
        <bgColor indexed="26"/>
      </patternFill>
    </fill>
    <fill>
      <patternFill patternType="solid">
        <fgColor indexed="50"/>
        <bgColor indexed="21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27"/>
      </patternFill>
    </fill>
    <fill>
      <patternFill patternType="solid">
        <fgColor indexed="51"/>
        <bgColor indexed="21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indexed="55"/>
        <bgColor indexed="26"/>
      </patternFill>
    </fill>
    <fill>
      <patternFill patternType="solid">
        <fgColor indexed="22"/>
        <bgColor indexed="27"/>
      </patternFill>
    </fill>
    <fill>
      <patternFill patternType="solid">
        <fgColor indexed="5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6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dashed">
        <color indexed="8"/>
      </right>
      <top/>
      <bottom/>
      <diagonal/>
    </border>
    <border>
      <left style="dashed">
        <color indexed="8"/>
      </left>
      <right style="dashed">
        <color indexed="8"/>
      </right>
      <top/>
      <bottom/>
      <diagonal/>
    </border>
    <border>
      <left style="dashed">
        <color indexed="8"/>
      </left>
      <right/>
      <top/>
      <bottom/>
      <diagonal/>
    </border>
    <border>
      <left/>
      <right style="dashed">
        <color indexed="8"/>
      </right>
      <top/>
      <bottom/>
      <diagonal/>
    </border>
    <border>
      <left style="thin">
        <color indexed="8"/>
      </left>
      <right style="dashed">
        <color indexed="8"/>
      </right>
      <top/>
      <bottom/>
      <diagonal/>
    </border>
    <border>
      <left style="dashed">
        <color indexed="8"/>
      </left>
      <right style="double">
        <color indexed="8"/>
      </right>
      <top/>
      <bottom/>
      <diagonal/>
    </border>
    <border>
      <left style="dashed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dashed">
        <color indexed="8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8"/>
      </right>
      <top/>
      <bottom style="thin">
        <color indexed="64"/>
      </bottom>
      <diagonal/>
    </border>
    <border>
      <left style="dashed">
        <color indexed="8"/>
      </left>
      <right style="dashed">
        <color indexed="8"/>
      </right>
      <top/>
      <bottom style="thin">
        <color indexed="64"/>
      </bottom>
      <diagonal/>
    </border>
    <border>
      <left style="dashed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8"/>
      </left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43"/>
      </top>
      <bottom style="thin">
        <color indexed="43"/>
      </bottom>
      <diagonal/>
    </border>
  </borders>
  <cellStyleXfs count="7">
    <xf numFmtId="0" fontId="0" fillId="0" borderId="0"/>
    <xf numFmtId="0" fontId="2" fillId="0" borderId="0"/>
    <xf numFmtId="0" fontId="19" fillId="0" borderId="0"/>
    <xf numFmtId="0" fontId="19" fillId="0" borderId="0"/>
    <xf numFmtId="0" fontId="1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</cellStyleXfs>
  <cellXfs count="1750">
    <xf numFmtId="0" fontId="0" fillId="0" borderId="0" xfId="0"/>
    <xf numFmtId="1" fontId="12" fillId="2" borderId="1" xfId="1" applyNumberFormat="1" applyFont="1" applyFill="1" applyBorder="1" applyAlignment="1">
      <alignment horizontal="left" vertical="center" wrapText="1"/>
    </xf>
    <xf numFmtId="1" fontId="9" fillId="0" borderId="2" xfId="1" applyNumberFormat="1" applyFont="1" applyFill="1" applyBorder="1" applyAlignment="1">
      <alignment horizontal="right"/>
    </xf>
    <xf numFmtId="9" fontId="10" fillId="3" borderId="1" xfId="1" applyNumberFormat="1" applyFont="1" applyFill="1" applyBorder="1" applyAlignment="1">
      <alignment horizontal="right" vertical="center" indent="1"/>
    </xf>
    <xf numFmtId="0" fontId="0" fillId="0" borderId="0" xfId="0" applyFill="1"/>
    <xf numFmtId="1" fontId="10" fillId="3" borderId="1" xfId="1" applyNumberFormat="1" applyFont="1" applyFill="1" applyBorder="1" applyAlignment="1">
      <alignment horizontal="right" vertical="center" indent="1"/>
    </xf>
    <xf numFmtId="3" fontId="10" fillId="3" borderId="1" xfId="1" applyNumberFormat="1" applyFont="1" applyFill="1" applyBorder="1" applyAlignment="1">
      <alignment horizontal="right" vertical="center" indent="1"/>
    </xf>
    <xf numFmtId="0" fontId="10" fillId="3" borderId="1" xfId="1" applyFont="1" applyFill="1" applyBorder="1" applyAlignment="1">
      <alignment horizontal="right" vertical="center" indent="1"/>
    </xf>
    <xf numFmtId="0" fontId="7" fillId="3" borderId="1" xfId="1" applyFont="1" applyFill="1" applyBorder="1" applyAlignment="1">
      <alignment horizontal="right" vertical="center" indent="1"/>
    </xf>
    <xf numFmtId="9" fontId="10" fillId="3" borderId="1" xfId="1" applyNumberFormat="1" applyFont="1" applyFill="1" applyBorder="1" applyAlignment="1">
      <alignment horizontal="right" vertical="center" wrapText="1" indent="1"/>
    </xf>
    <xf numFmtId="1" fontId="0" fillId="0" borderId="0" xfId="0" applyNumberFormat="1"/>
    <xf numFmtId="1" fontId="10" fillId="3" borderId="3" xfId="1" applyNumberFormat="1" applyFont="1" applyFill="1" applyBorder="1" applyAlignment="1">
      <alignment horizontal="right" vertical="center" indent="1"/>
    </xf>
    <xf numFmtId="0" fontId="12" fillId="0" borderId="1" xfId="1" applyFont="1" applyFill="1" applyBorder="1" applyAlignment="1">
      <alignment horizontal="left" vertical="center" indent="1"/>
    </xf>
    <xf numFmtId="0" fontId="16" fillId="4" borderId="0" xfId="4" applyFont="1" applyFill="1" applyBorder="1" applyAlignment="1">
      <alignment horizontal="left"/>
    </xf>
    <xf numFmtId="0" fontId="16" fillId="4" borderId="4" xfId="4" applyFont="1" applyFill="1" applyBorder="1" applyAlignment="1" applyProtection="1">
      <alignment horizontal="center"/>
      <protection locked="0"/>
    </xf>
    <xf numFmtId="0" fontId="0" fillId="5" borderId="0" xfId="0" applyFill="1" applyAlignment="1"/>
    <xf numFmtId="0" fontId="20" fillId="6" borderId="5" xfId="3" applyFont="1" applyFill="1" applyBorder="1" applyAlignment="1">
      <alignment horizontal="center"/>
    </xf>
    <xf numFmtId="0" fontId="23" fillId="0" borderId="0" xfId="0" applyFont="1"/>
    <xf numFmtId="0" fontId="5" fillId="0" borderId="0" xfId="0" applyFont="1"/>
    <xf numFmtId="9" fontId="23" fillId="3" borderId="1" xfId="1" applyNumberFormat="1" applyFont="1" applyFill="1" applyBorder="1" applyAlignment="1">
      <alignment horizontal="right" vertical="center" wrapText="1" indent="1"/>
    </xf>
    <xf numFmtId="164" fontId="22" fillId="2" borderId="1" xfId="4" applyNumberFormat="1" applyFont="1" applyFill="1" applyBorder="1" applyAlignment="1" applyProtection="1">
      <alignment horizontal="right"/>
      <protection locked="0"/>
    </xf>
    <xf numFmtId="0" fontId="20" fillId="0" borderId="0" xfId="3" applyFont="1" applyFill="1" applyBorder="1" applyAlignment="1">
      <alignment horizontal="center"/>
    </xf>
    <xf numFmtId="3" fontId="22" fillId="2" borderId="1" xfId="4" applyNumberFormat="1" applyFont="1" applyFill="1" applyBorder="1" applyAlignment="1" applyProtection="1">
      <alignment horizontal="right"/>
      <protection locked="0"/>
    </xf>
    <xf numFmtId="3" fontId="22" fillId="2" borderId="1" xfId="4" applyNumberFormat="1" applyFont="1" applyFill="1" applyBorder="1" applyAlignment="1">
      <alignment horizontal="right"/>
    </xf>
    <xf numFmtId="10" fontId="23" fillId="3" borderId="1" xfId="1" applyNumberFormat="1" applyFont="1" applyFill="1" applyBorder="1" applyAlignment="1">
      <alignment vertical="center"/>
    </xf>
    <xf numFmtId="0" fontId="9" fillId="0" borderId="6" xfId="1" applyFont="1" applyFill="1" applyBorder="1"/>
    <xf numFmtId="1" fontId="9" fillId="0" borderId="6" xfId="1" applyNumberFormat="1" applyFont="1" applyFill="1" applyBorder="1"/>
    <xf numFmtId="1" fontId="9" fillId="0" borderId="6" xfId="1" applyNumberFormat="1" applyFont="1" applyFill="1" applyBorder="1" applyAlignment="1">
      <alignment horizontal="right"/>
    </xf>
    <xf numFmtId="1" fontId="9" fillId="3" borderId="6" xfId="1" applyNumberFormat="1" applyFont="1" applyFill="1" applyBorder="1"/>
    <xf numFmtId="1" fontId="7" fillId="3" borderId="6" xfId="1" applyNumberFormat="1" applyFont="1" applyFill="1" applyBorder="1"/>
    <xf numFmtId="0" fontId="7" fillId="6" borderId="7" xfId="1" applyFont="1" applyFill="1" applyBorder="1" applyAlignment="1">
      <alignment horizontal="center" vertical="center" wrapText="1"/>
    </xf>
    <xf numFmtId="0" fontId="0" fillId="0" borderId="0" xfId="0" applyBorder="1"/>
    <xf numFmtId="0" fontId="25" fillId="0" borderId="1" xfId="1" applyFont="1" applyFill="1" applyBorder="1" applyAlignment="1">
      <alignment horizontal="left" vertical="center" wrapText="1" indent="1"/>
    </xf>
    <xf numFmtId="0" fontId="22" fillId="5" borderId="8" xfId="4" applyFont="1" applyFill="1" applyBorder="1" applyAlignment="1" applyProtection="1">
      <alignment horizontal="center"/>
      <protection locked="0"/>
    </xf>
    <xf numFmtId="0" fontId="23" fillId="0" borderId="9" xfId="4" applyFont="1" applyBorder="1" applyProtection="1">
      <protection locked="0"/>
    </xf>
    <xf numFmtId="1" fontId="23" fillId="3" borderId="9" xfId="1" applyNumberFormat="1" applyFont="1" applyFill="1" applyBorder="1" applyAlignment="1">
      <alignment horizontal="right" vertical="center" indent="1"/>
    </xf>
    <xf numFmtId="0" fontId="22" fillId="5" borderId="9" xfId="4" applyFont="1" applyFill="1" applyBorder="1" applyAlignment="1" applyProtection="1">
      <alignment horizontal="center"/>
      <protection locked="0"/>
    </xf>
    <xf numFmtId="0" fontId="20" fillId="7" borderId="9" xfId="4" applyFont="1" applyFill="1" applyBorder="1" applyAlignment="1" applyProtection="1">
      <alignment horizontal="left"/>
      <protection locked="0"/>
    </xf>
    <xf numFmtId="1" fontId="20" fillId="7" borderId="9" xfId="4" applyNumberFormat="1" applyFont="1" applyFill="1" applyBorder="1" applyAlignment="1" applyProtection="1">
      <alignment horizontal="right"/>
      <protection locked="0"/>
    </xf>
    <xf numFmtId="0" fontId="22" fillId="5" borderId="9" xfId="4" applyFont="1" applyFill="1" applyBorder="1" applyAlignment="1" applyProtection="1">
      <alignment horizontal="right"/>
      <protection locked="0"/>
    </xf>
    <xf numFmtId="3" fontId="22" fillId="3" borderId="1" xfId="1" applyNumberFormat="1" applyFont="1" applyFill="1" applyBorder="1" applyAlignment="1">
      <alignment vertical="center" wrapText="1"/>
    </xf>
    <xf numFmtId="0" fontId="23" fillId="3" borderId="1" xfId="1" applyFont="1" applyFill="1" applyBorder="1" applyAlignment="1">
      <alignment vertical="center"/>
    </xf>
    <xf numFmtId="1" fontId="23" fillId="3" borderId="1" xfId="1" applyNumberFormat="1" applyFont="1" applyFill="1" applyBorder="1" applyAlignment="1">
      <alignment vertical="center"/>
    </xf>
    <xf numFmtId="0" fontId="25" fillId="0" borderId="1" xfId="1" applyFont="1" applyFill="1" applyBorder="1" applyAlignment="1">
      <alignment vertical="center" wrapText="1"/>
    </xf>
    <xf numFmtId="9" fontId="23" fillId="3" borderId="1" xfId="1" applyNumberFormat="1" applyFont="1" applyFill="1" applyBorder="1" applyAlignment="1">
      <alignment vertical="center" wrapText="1"/>
    </xf>
    <xf numFmtId="1" fontId="9" fillId="6" borderId="3" xfId="1" applyNumberFormat="1" applyFont="1" applyFill="1" applyBorder="1"/>
    <xf numFmtId="1" fontId="13" fillId="6" borderId="10" xfId="1" applyNumberFormat="1" applyFont="1" applyFill="1" applyBorder="1"/>
    <xf numFmtId="1" fontId="9" fillId="6" borderId="10" xfId="1" applyNumberFormat="1" applyFont="1" applyFill="1" applyBorder="1" applyAlignment="1">
      <alignment horizontal="right"/>
    </xf>
    <xf numFmtId="1" fontId="9" fillId="8" borderId="10" xfId="1" applyNumberFormat="1" applyFont="1" applyFill="1" applyBorder="1"/>
    <xf numFmtId="1" fontId="7" fillId="8" borderId="10" xfId="1" applyNumberFormat="1" applyFont="1" applyFill="1" applyBorder="1"/>
    <xf numFmtId="1" fontId="9" fillId="0" borderId="3" xfId="1" applyNumberFormat="1" applyFont="1" applyFill="1" applyBorder="1"/>
    <xf numFmtId="1" fontId="13" fillId="0" borderId="10" xfId="1" applyNumberFormat="1" applyFont="1" applyFill="1" applyBorder="1"/>
    <xf numFmtId="1" fontId="9" fillId="0" borderId="10" xfId="1" applyNumberFormat="1" applyFont="1" applyFill="1" applyBorder="1" applyAlignment="1">
      <alignment horizontal="right"/>
    </xf>
    <xf numFmtId="1" fontId="9" fillId="0" borderId="10" xfId="1" applyNumberFormat="1" applyFont="1" applyFill="1" applyBorder="1"/>
    <xf numFmtId="1" fontId="7" fillId="0" borderId="10" xfId="1" applyNumberFormat="1" applyFont="1" applyFill="1" applyBorder="1"/>
    <xf numFmtId="1" fontId="22" fillId="5" borderId="8" xfId="4" applyNumberFormat="1" applyFont="1" applyFill="1" applyBorder="1" applyAlignment="1" applyProtection="1">
      <alignment horizontal="right"/>
      <protection locked="0"/>
    </xf>
    <xf numFmtId="1" fontId="22" fillId="5" borderId="9" xfId="4" applyNumberFormat="1" applyFont="1" applyFill="1" applyBorder="1" applyAlignment="1" applyProtection="1">
      <alignment horizontal="right"/>
      <protection locked="0"/>
    </xf>
    <xf numFmtId="1" fontId="23" fillId="3" borderId="9" xfId="1" applyNumberFormat="1" applyFont="1" applyFill="1" applyBorder="1" applyAlignment="1">
      <alignment vertical="center"/>
    </xf>
    <xf numFmtId="9" fontId="23" fillId="3" borderId="9" xfId="1" applyNumberFormat="1" applyFont="1" applyFill="1" applyBorder="1" applyAlignment="1">
      <alignment vertical="center"/>
    </xf>
    <xf numFmtId="9" fontId="23" fillId="3" borderId="1" xfId="1" applyNumberFormat="1" applyFont="1" applyFill="1" applyBorder="1" applyAlignment="1">
      <alignment vertical="center"/>
    </xf>
    <xf numFmtId="1" fontId="13" fillId="0" borderId="6" xfId="1" applyNumberFormat="1" applyFont="1" applyFill="1" applyBorder="1"/>
    <xf numFmtId="0" fontId="20" fillId="6" borderId="7" xfId="3" applyFont="1" applyFill="1" applyBorder="1" applyAlignment="1">
      <alignment horizontal="center"/>
    </xf>
    <xf numFmtId="0" fontId="7" fillId="6" borderId="7" xfId="1" applyFont="1" applyFill="1" applyBorder="1" applyAlignment="1">
      <alignment horizontal="right" vertical="center" wrapText="1" indent="1"/>
    </xf>
    <xf numFmtId="0" fontId="20" fillId="0" borderId="1" xfId="3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right" vertical="center" wrapText="1" indent="1"/>
    </xf>
    <xf numFmtId="0" fontId="22" fillId="2" borderId="1" xfId="2" applyFont="1" applyFill="1" applyBorder="1" applyAlignment="1" applyProtection="1">
      <alignment horizontal="left"/>
      <protection locked="0"/>
    </xf>
    <xf numFmtId="3" fontId="22" fillId="2" borderId="1" xfId="4" applyNumberFormat="1" applyFont="1" applyFill="1" applyBorder="1" applyAlignment="1"/>
    <xf numFmtId="0" fontId="23" fillId="2" borderId="1" xfId="4" applyFont="1" applyFill="1" applyBorder="1" applyProtection="1">
      <protection locked="0"/>
    </xf>
    <xf numFmtId="0" fontId="24" fillId="2" borderId="1" xfId="2" applyFont="1" applyFill="1" applyBorder="1" applyProtection="1">
      <protection locked="0"/>
    </xf>
    <xf numFmtId="0" fontId="22" fillId="5" borderId="1" xfId="4" applyFont="1" applyFill="1" applyBorder="1" applyAlignment="1" applyProtection="1">
      <alignment horizontal="center"/>
      <protection locked="0"/>
    </xf>
    <xf numFmtId="0" fontId="22" fillId="0" borderId="1" xfId="4" applyFont="1" applyFill="1" applyBorder="1" applyAlignment="1">
      <alignment horizontal="left"/>
    </xf>
    <xf numFmtId="167" fontId="22" fillId="0" borderId="1" xfId="4" applyNumberFormat="1" applyFont="1" applyBorder="1"/>
    <xf numFmtId="0" fontId="22" fillId="0" borderId="1" xfId="4" applyFont="1" applyFill="1" applyBorder="1" applyAlignment="1" applyProtection="1">
      <alignment horizontal="left"/>
      <protection locked="0"/>
    </xf>
    <xf numFmtId="0" fontId="24" fillId="0" borderId="1" xfId="2" applyFont="1" applyFill="1" applyBorder="1" applyAlignment="1" applyProtection="1">
      <alignment horizontal="left"/>
      <protection locked="0"/>
    </xf>
    <xf numFmtId="9" fontId="10" fillId="3" borderId="1" xfId="1" applyNumberFormat="1" applyFont="1" applyFill="1" applyBorder="1" applyAlignment="1">
      <alignment vertical="center" wrapText="1"/>
    </xf>
    <xf numFmtId="9" fontId="10" fillId="3" borderId="1" xfId="1" applyNumberFormat="1" applyFont="1" applyFill="1" applyBorder="1" applyAlignment="1">
      <alignment horizontal="right" vertical="center" wrapText="1"/>
    </xf>
    <xf numFmtId="1" fontId="10" fillId="3" borderId="1" xfId="1" applyNumberFormat="1" applyFont="1" applyFill="1" applyBorder="1" applyAlignment="1">
      <alignment vertical="center" wrapText="1"/>
    </xf>
    <xf numFmtId="1" fontId="10" fillId="3" borderId="1" xfId="1" applyNumberFormat="1" applyFont="1" applyFill="1" applyBorder="1" applyAlignment="1">
      <alignment horizontal="right" vertical="center" wrapText="1" indent="1"/>
    </xf>
    <xf numFmtId="0" fontId="22" fillId="5" borderId="1" xfId="4" applyFont="1" applyFill="1" applyBorder="1" applyAlignment="1" applyProtection="1">
      <alignment horizontal="right"/>
      <protection locked="0"/>
    </xf>
    <xf numFmtId="0" fontId="20" fillId="7" borderId="11" xfId="4" applyFont="1" applyFill="1" applyBorder="1" applyAlignment="1" applyProtection="1">
      <alignment horizontal="left"/>
      <protection locked="0"/>
    </xf>
    <xf numFmtId="3" fontId="20" fillId="7" borderId="11" xfId="4" applyNumberFormat="1" applyFont="1" applyFill="1" applyBorder="1" applyAlignment="1" applyProtection="1">
      <alignment horizontal="right"/>
      <protection locked="0"/>
    </xf>
    <xf numFmtId="3" fontId="10" fillId="3" borderId="9" xfId="1" applyNumberFormat="1" applyFont="1" applyFill="1" applyBorder="1" applyAlignment="1">
      <alignment horizontal="right" vertical="center" wrapText="1" indent="1"/>
    </xf>
    <xf numFmtId="3" fontId="20" fillId="7" borderId="12" xfId="4" applyNumberFormat="1" applyFont="1" applyFill="1" applyBorder="1" applyAlignment="1" applyProtection="1">
      <alignment horizontal="right"/>
      <protection locked="0"/>
    </xf>
    <xf numFmtId="0" fontId="9" fillId="0" borderId="13" xfId="1" applyFont="1" applyFill="1" applyBorder="1" applyAlignment="1">
      <alignment horizontal="center"/>
    </xf>
    <xf numFmtId="3" fontId="7" fillId="3" borderId="13" xfId="0" applyNumberFormat="1" applyFont="1" applyFill="1" applyBorder="1" applyAlignment="1">
      <alignment horizontal="right" vertical="center" indent="1"/>
    </xf>
    <xf numFmtId="3" fontId="13" fillId="3" borderId="13" xfId="0" applyNumberFormat="1" applyFont="1" applyFill="1" applyBorder="1" applyAlignment="1">
      <alignment horizontal="right" vertical="center" indent="1"/>
    </xf>
    <xf numFmtId="3" fontId="7" fillId="0" borderId="13" xfId="0" applyNumberFormat="1" applyFont="1" applyFill="1" applyBorder="1" applyAlignment="1">
      <alignment horizontal="right" vertical="center" indent="1"/>
    </xf>
    <xf numFmtId="0" fontId="20" fillId="7" borderId="14" xfId="4" applyFont="1" applyFill="1" applyBorder="1" applyAlignment="1" applyProtection="1">
      <alignment horizontal="left"/>
      <protection locked="0"/>
    </xf>
    <xf numFmtId="3" fontId="20" fillId="7" borderId="14" xfId="4" applyNumberFormat="1" applyFont="1" applyFill="1" applyBorder="1" applyAlignment="1" applyProtection="1">
      <alignment horizontal="right"/>
      <protection locked="0"/>
    </xf>
    <xf numFmtId="0" fontId="9" fillId="0" borderId="15" xfId="1" applyFont="1" applyFill="1" applyBorder="1" applyAlignment="1">
      <alignment horizontal="center"/>
    </xf>
    <xf numFmtId="0" fontId="7" fillId="6" borderId="3" xfId="1" applyFont="1" applyFill="1" applyBorder="1" applyAlignment="1">
      <alignment horizontal="center" vertical="center" wrapText="1"/>
    </xf>
    <xf numFmtId="0" fontId="7" fillId="6" borderId="10" xfId="1" applyFont="1" applyFill="1" applyBorder="1" applyAlignment="1">
      <alignment horizontal="center" vertical="center" wrapText="1"/>
    </xf>
    <xf numFmtId="0" fontId="7" fillId="6" borderId="10" xfId="1" applyFont="1" applyFill="1" applyBorder="1" applyAlignment="1">
      <alignment horizontal="right" vertical="center" wrapText="1" indent="1"/>
    </xf>
    <xf numFmtId="0" fontId="0" fillId="2" borderId="0" xfId="0" applyFill="1"/>
    <xf numFmtId="0" fontId="4" fillId="2" borderId="0" xfId="1" applyFont="1" applyFill="1" applyBorder="1" applyAlignment="1">
      <alignment horizontal="left"/>
    </xf>
    <xf numFmtId="0" fontId="22" fillId="9" borderId="8" xfId="4" applyFont="1" applyFill="1" applyBorder="1" applyAlignment="1" applyProtection="1">
      <alignment horizontal="center"/>
      <protection locked="0"/>
    </xf>
    <xf numFmtId="1" fontId="22" fillId="9" borderId="8" xfId="4" applyNumberFormat="1" applyFont="1" applyFill="1" applyBorder="1" applyAlignment="1" applyProtection="1">
      <alignment horizontal="right"/>
      <protection locked="0"/>
    </xf>
    <xf numFmtId="0" fontId="22" fillId="9" borderId="9" xfId="4" applyFont="1" applyFill="1" applyBorder="1" applyAlignment="1" applyProtection="1">
      <alignment horizontal="center"/>
      <protection locked="0"/>
    </xf>
    <xf numFmtId="1" fontId="23" fillId="3" borderId="16" xfId="1" applyNumberFormat="1" applyFont="1" applyFill="1" applyBorder="1" applyAlignment="1">
      <alignment vertical="center"/>
    </xf>
    <xf numFmtId="1" fontId="22" fillId="10" borderId="1" xfId="1" applyNumberFormat="1" applyFont="1" applyFill="1" applyBorder="1" applyAlignment="1">
      <alignment vertical="center"/>
    </xf>
    <xf numFmtId="1" fontId="7" fillId="3" borderId="2" xfId="0" applyNumberFormat="1" applyFont="1" applyFill="1" applyBorder="1" applyAlignment="1">
      <alignment horizontal="right" vertical="center" indent="1"/>
    </xf>
    <xf numFmtId="0" fontId="22" fillId="10" borderId="3" xfId="1" applyFont="1" applyFill="1" applyBorder="1" applyAlignment="1">
      <alignment horizontal="right" vertical="center" indent="1"/>
    </xf>
    <xf numFmtId="0" fontId="7" fillId="0" borderId="3" xfId="1" applyFont="1" applyFill="1" applyBorder="1" applyAlignment="1">
      <alignment horizontal="right" vertical="center" wrapText="1"/>
    </xf>
    <xf numFmtId="1" fontId="23" fillId="3" borderId="9" xfId="1" applyNumberFormat="1" applyFont="1" applyFill="1" applyBorder="1" applyAlignment="1">
      <alignment horizontal="right" vertical="center"/>
    </xf>
    <xf numFmtId="1" fontId="20" fillId="7" borderId="11" xfId="4" applyNumberFormat="1" applyFont="1" applyFill="1" applyBorder="1" applyAlignment="1" applyProtection="1">
      <alignment horizontal="right"/>
      <protection locked="0"/>
    </xf>
    <xf numFmtId="1" fontId="9" fillId="6" borderId="3" xfId="1" applyNumberFormat="1" applyFont="1" applyFill="1" applyBorder="1" applyAlignment="1">
      <alignment horizontal="right"/>
    </xf>
    <xf numFmtId="1" fontId="9" fillId="0" borderId="3" xfId="1" applyNumberFormat="1" applyFont="1" applyFill="1" applyBorder="1" applyAlignment="1">
      <alignment horizontal="right"/>
    </xf>
    <xf numFmtId="1" fontId="22" fillId="10" borderId="1" xfId="1" applyNumberFormat="1" applyFont="1" applyFill="1" applyBorder="1" applyAlignment="1">
      <alignment horizontal="right" vertical="center"/>
    </xf>
    <xf numFmtId="1" fontId="20" fillId="7" borderId="14" xfId="4" applyNumberFormat="1" applyFont="1" applyFill="1" applyBorder="1" applyAlignment="1" applyProtection="1">
      <alignment horizontal="right"/>
      <protection locked="0"/>
    </xf>
    <xf numFmtId="3" fontId="22" fillId="3" borderId="3" xfId="0" applyNumberFormat="1" applyFont="1" applyFill="1" applyBorder="1" applyAlignment="1">
      <alignment vertical="center"/>
    </xf>
    <xf numFmtId="2" fontId="22" fillId="3" borderId="3" xfId="0" applyNumberFormat="1" applyFont="1" applyFill="1" applyBorder="1" applyAlignment="1">
      <alignment vertical="center"/>
    </xf>
    <xf numFmtId="3" fontId="23" fillId="3" borderId="3" xfId="1" applyNumberFormat="1" applyFont="1" applyFill="1" applyBorder="1" applyAlignment="1">
      <alignment vertical="center"/>
    </xf>
    <xf numFmtId="3" fontId="23" fillId="3" borderId="10" xfId="1" applyNumberFormat="1" applyFont="1" applyFill="1" applyBorder="1" applyAlignment="1">
      <alignment vertical="center"/>
    </xf>
    <xf numFmtId="1" fontId="23" fillId="3" borderId="3" xfId="1" applyNumberFormat="1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3" fontId="22" fillId="3" borderId="10" xfId="0" applyNumberFormat="1" applyFont="1" applyFill="1" applyBorder="1" applyAlignment="1">
      <alignment vertical="center"/>
    </xf>
    <xf numFmtId="2" fontId="22" fillId="3" borderId="1" xfId="0" applyNumberFormat="1" applyFont="1" applyFill="1" applyBorder="1" applyAlignment="1">
      <alignment vertical="center"/>
    </xf>
    <xf numFmtId="2" fontId="22" fillId="3" borderId="10" xfId="0" applyNumberFormat="1" applyFont="1" applyFill="1" applyBorder="1" applyAlignment="1">
      <alignment vertical="center"/>
    </xf>
    <xf numFmtId="3" fontId="22" fillId="3" borderId="1" xfId="0" applyNumberFormat="1" applyFont="1" applyFill="1" applyBorder="1" applyAlignment="1">
      <alignment vertical="center"/>
    </xf>
    <xf numFmtId="1" fontId="10" fillId="3" borderId="10" xfId="1" applyNumberFormat="1" applyFont="1" applyFill="1" applyBorder="1" applyAlignment="1">
      <alignment vertical="center"/>
    </xf>
    <xf numFmtId="1" fontId="22" fillId="10" borderId="10" xfId="1" applyNumberFormat="1" applyFont="1" applyFill="1" applyBorder="1" applyAlignment="1">
      <alignment vertical="center"/>
    </xf>
    <xf numFmtId="0" fontId="22" fillId="10" borderId="10" xfId="1" applyFont="1" applyFill="1" applyBorder="1" applyAlignment="1">
      <alignment vertical="center"/>
    </xf>
    <xf numFmtId="1" fontId="20" fillId="7" borderId="11" xfId="4" applyNumberFormat="1" applyFont="1" applyFill="1" applyBorder="1" applyAlignment="1" applyProtection="1">
      <alignment vertical="center"/>
      <protection locked="0"/>
    </xf>
    <xf numFmtId="1" fontId="9" fillId="0" borderId="2" xfId="1" applyNumberFormat="1" applyFont="1" applyFill="1" applyBorder="1" applyAlignment="1">
      <alignment vertical="center"/>
    </xf>
    <xf numFmtId="1" fontId="9" fillId="3" borderId="2" xfId="1" applyNumberFormat="1" applyFont="1" applyFill="1" applyBorder="1" applyAlignment="1">
      <alignment vertical="center"/>
    </xf>
    <xf numFmtId="1" fontId="7" fillId="3" borderId="2" xfId="1" applyNumberFormat="1" applyFont="1" applyFill="1" applyBorder="1" applyAlignment="1">
      <alignment vertical="center"/>
    </xf>
    <xf numFmtId="1" fontId="9" fillId="6" borderId="10" xfId="1" applyNumberFormat="1" applyFont="1" applyFill="1" applyBorder="1" applyAlignment="1">
      <alignment vertical="center"/>
    </xf>
    <xf numFmtId="1" fontId="7" fillId="8" borderId="10" xfId="1" applyNumberFormat="1" applyFont="1" applyFill="1" applyBorder="1" applyAlignment="1">
      <alignment vertical="center"/>
    </xf>
    <xf numFmtId="1" fontId="9" fillId="0" borderId="10" xfId="1" applyNumberFormat="1" applyFont="1" applyFill="1" applyBorder="1" applyAlignment="1">
      <alignment vertical="center"/>
    </xf>
    <xf numFmtId="1" fontId="7" fillId="0" borderId="10" xfId="1" applyNumberFormat="1" applyFont="1" applyFill="1" applyBorder="1" applyAlignment="1">
      <alignment vertical="center"/>
    </xf>
    <xf numFmtId="1" fontId="22" fillId="9" borderId="8" xfId="4" applyNumberFormat="1" applyFont="1" applyFill="1" applyBorder="1" applyAlignment="1" applyProtection="1">
      <alignment vertical="center"/>
      <protection locked="0"/>
    </xf>
    <xf numFmtId="3" fontId="23" fillId="0" borderId="10" xfId="1" applyNumberFormat="1" applyFont="1" applyFill="1" applyBorder="1" applyAlignment="1">
      <alignment vertical="center"/>
    </xf>
    <xf numFmtId="1" fontId="23" fillId="3" borderId="10" xfId="1" applyNumberFormat="1" applyFont="1" applyFill="1" applyBorder="1" applyAlignment="1">
      <alignment vertical="center"/>
    </xf>
    <xf numFmtId="1" fontId="20" fillId="7" borderId="9" xfId="4" applyNumberFormat="1" applyFont="1" applyFill="1" applyBorder="1" applyAlignment="1" applyProtection="1">
      <alignment vertical="center"/>
      <protection locked="0"/>
    </xf>
    <xf numFmtId="1" fontId="7" fillId="3" borderId="2" xfId="0" applyNumberFormat="1" applyFont="1" applyFill="1" applyBorder="1" applyAlignment="1">
      <alignment vertical="center"/>
    </xf>
    <xf numFmtId="1" fontId="20" fillId="7" borderId="14" xfId="4" applyNumberFormat="1" applyFont="1" applyFill="1" applyBorder="1" applyAlignment="1" applyProtection="1">
      <alignment vertical="center"/>
      <protection locked="0"/>
    </xf>
    <xf numFmtId="3" fontId="23" fillId="2" borderId="10" xfId="1" applyNumberFormat="1" applyFont="1" applyFill="1" applyBorder="1" applyAlignment="1">
      <alignment vertical="center"/>
    </xf>
    <xf numFmtId="9" fontId="23" fillId="3" borderId="9" xfId="1" applyNumberFormat="1" applyFont="1" applyFill="1" applyBorder="1" applyAlignment="1">
      <alignment horizontal="right" vertical="center"/>
    </xf>
    <xf numFmtId="1" fontId="23" fillId="0" borderId="0" xfId="0" applyNumberFormat="1" applyFont="1"/>
    <xf numFmtId="3" fontId="23" fillId="0" borderId="0" xfId="0" applyNumberFormat="1" applyFont="1"/>
    <xf numFmtId="0" fontId="7" fillId="2" borderId="0" xfId="1" applyFont="1" applyFill="1" applyBorder="1" applyAlignment="1">
      <alignment horizontal="center" vertical="center" wrapText="1"/>
    </xf>
    <xf numFmtId="0" fontId="0" fillId="5" borderId="17" xfId="0" applyFill="1" applyBorder="1" applyAlignment="1"/>
    <xf numFmtId="0" fontId="7" fillId="5" borderId="17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0" fontId="0" fillId="2" borderId="17" xfId="0" applyFill="1" applyBorder="1" applyAlignment="1"/>
    <xf numFmtId="0" fontId="18" fillId="2" borderId="17" xfId="4" applyFont="1" applyFill="1" applyBorder="1" applyAlignment="1" applyProtection="1">
      <alignment horizontal="center"/>
      <protection locked="0"/>
    </xf>
    <xf numFmtId="0" fontId="6" fillId="2" borderId="17" xfId="1" applyFont="1" applyFill="1" applyBorder="1" applyAlignment="1">
      <alignment vertical="center"/>
    </xf>
    <xf numFmtId="0" fontId="23" fillId="0" borderId="18" xfId="4" applyFont="1" applyBorder="1" applyProtection="1">
      <protection locked="0"/>
    </xf>
    <xf numFmtId="0" fontId="22" fillId="0" borderId="18" xfId="4" applyFont="1" applyFill="1" applyBorder="1" applyAlignment="1" applyProtection="1">
      <alignment horizontal="left"/>
      <protection locked="0"/>
    </xf>
    <xf numFmtId="0" fontId="22" fillId="5" borderId="18" xfId="4" applyFont="1" applyFill="1" applyBorder="1" applyAlignment="1" applyProtection="1">
      <alignment horizontal="center"/>
      <protection locked="0"/>
    </xf>
    <xf numFmtId="0" fontId="20" fillId="7" borderId="18" xfId="4" applyFont="1" applyFill="1" applyBorder="1" applyAlignment="1" applyProtection="1">
      <alignment horizontal="left"/>
      <protection locked="0"/>
    </xf>
    <xf numFmtId="0" fontId="9" fillId="0" borderId="18" xfId="1" applyFont="1" applyFill="1" applyBorder="1" applyAlignment="1">
      <alignment horizontal="center"/>
    </xf>
    <xf numFmtId="0" fontId="21" fillId="6" borderId="19" xfId="4" applyFont="1" applyFill="1" applyBorder="1" applyAlignment="1" applyProtection="1">
      <alignment horizontal="center"/>
      <protection locked="0"/>
    </xf>
    <xf numFmtId="0" fontId="15" fillId="6" borderId="19" xfId="4" applyFont="1" applyFill="1" applyBorder="1" applyAlignment="1" applyProtection="1">
      <alignment horizontal="center" vertical="center"/>
      <protection locked="0"/>
    </xf>
    <xf numFmtId="0" fontId="21" fillId="6" borderId="19" xfId="4" applyFont="1" applyFill="1" applyBorder="1" applyAlignment="1" applyProtection="1">
      <alignment horizontal="center" vertical="center"/>
      <protection locked="0"/>
    </xf>
    <xf numFmtId="0" fontId="7" fillId="6" borderId="19" xfId="1" applyFont="1" applyFill="1" applyBorder="1" applyAlignment="1">
      <alignment horizontal="right" vertical="center" wrapText="1" indent="1"/>
    </xf>
    <xf numFmtId="0" fontId="21" fillId="0" borderId="19" xfId="4" applyFont="1" applyFill="1" applyBorder="1" applyAlignment="1" applyProtection="1">
      <alignment horizontal="center"/>
      <protection locked="0"/>
    </xf>
    <xf numFmtId="0" fontId="15" fillId="0" borderId="19" xfId="4" applyFont="1" applyFill="1" applyBorder="1" applyAlignment="1" applyProtection="1">
      <alignment horizontal="center" vertical="center"/>
      <protection locked="0"/>
    </xf>
    <xf numFmtId="0" fontId="21" fillId="2" borderId="19" xfId="4" applyFont="1" applyFill="1" applyBorder="1" applyAlignment="1" applyProtection="1">
      <alignment horizontal="right" vertical="center"/>
      <protection locked="0"/>
    </xf>
    <xf numFmtId="0" fontId="21" fillId="2" borderId="19" xfId="4" applyFont="1" applyFill="1" applyBorder="1" applyAlignment="1" applyProtection="1">
      <alignment horizontal="center"/>
      <protection locked="0"/>
    </xf>
    <xf numFmtId="0" fontId="21" fillId="2" borderId="19" xfId="4" applyFont="1" applyFill="1" applyBorder="1" applyAlignment="1" applyProtection="1">
      <alignment horizontal="center" vertical="center"/>
      <protection locked="0"/>
    </xf>
    <xf numFmtId="0" fontId="7" fillId="2" borderId="19" xfId="1" applyFont="1" applyFill="1" applyBorder="1" applyAlignment="1">
      <alignment horizontal="right" vertical="center" wrapText="1" indent="1"/>
    </xf>
    <xf numFmtId="3" fontId="22" fillId="2" borderId="19" xfId="4" applyNumberFormat="1" applyFont="1" applyFill="1" applyBorder="1" applyProtection="1">
      <protection locked="0"/>
    </xf>
    <xf numFmtId="3" fontId="22" fillId="2" borderId="19" xfId="4" applyNumberFormat="1" applyFont="1" applyFill="1" applyBorder="1" applyAlignment="1" applyProtection="1">
      <alignment horizontal="right"/>
      <protection locked="0"/>
    </xf>
    <xf numFmtId="3" fontId="7" fillId="2" borderId="19" xfId="0" applyNumberFormat="1" applyFont="1" applyFill="1" applyBorder="1" applyAlignment="1">
      <alignment horizontal="right" vertical="center" indent="1"/>
    </xf>
    <xf numFmtId="164" fontId="22" fillId="2" borderId="19" xfId="4" applyNumberFormat="1" applyFont="1" applyFill="1" applyBorder="1" applyAlignment="1" applyProtection="1">
      <alignment horizontal="right"/>
      <protection locked="0"/>
    </xf>
    <xf numFmtId="2" fontId="7" fillId="2" borderId="19" xfId="0" applyNumberFormat="1" applyFont="1" applyFill="1" applyBorder="1" applyAlignment="1">
      <alignment horizontal="right" vertical="center" indent="1"/>
    </xf>
    <xf numFmtId="4" fontId="7" fillId="2" borderId="19" xfId="0" applyNumberFormat="1" applyFont="1" applyFill="1" applyBorder="1" applyAlignment="1">
      <alignment horizontal="right" vertical="center" indent="1"/>
    </xf>
    <xf numFmtId="3" fontId="22" fillId="2" borderId="19" xfId="4" applyNumberFormat="1" applyFont="1" applyFill="1" applyBorder="1"/>
    <xf numFmtId="3" fontId="22" fillId="2" borderId="19" xfId="4" applyNumberFormat="1" applyFont="1" applyFill="1" applyBorder="1" applyAlignment="1">
      <alignment horizontal="right"/>
    </xf>
    <xf numFmtId="1" fontId="10" fillId="3" borderId="19" xfId="1" applyNumberFormat="1" applyFont="1" applyFill="1" applyBorder="1" applyAlignment="1">
      <alignment horizontal="right" vertical="center" indent="1"/>
    </xf>
    <xf numFmtId="0" fontId="0" fillId="0" borderId="19" xfId="0" applyBorder="1" applyAlignment="1">
      <alignment horizontal="right"/>
    </xf>
    <xf numFmtId="0" fontId="0" fillId="0" borderId="19" xfId="0" applyBorder="1"/>
    <xf numFmtId="1" fontId="23" fillId="3" borderId="19" xfId="1" applyNumberFormat="1" applyFont="1" applyFill="1" applyBorder="1" applyAlignment="1">
      <alignment horizontal="right" vertical="center" indent="1"/>
    </xf>
    <xf numFmtId="1" fontId="23" fillId="3" borderId="19" xfId="1" applyNumberFormat="1" applyFont="1" applyFill="1" applyBorder="1" applyAlignment="1">
      <alignment vertical="center"/>
    </xf>
    <xf numFmtId="3" fontId="23" fillId="3" borderId="19" xfId="0" applyNumberFormat="1" applyFont="1" applyFill="1" applyBorder="1" applyAlignment="1">
      <alignment vertical="center"/>
    </xf>
    <xf numFmtId="1" fontId="23" fillId="11" borderId="19" xfId="1" applyNumberFormat="1" applyFont="1" applyFill="1" applyBorder="1" applyAlignment="1">
      <alignment horizontal="right" vertical="center" indent="1"/>
    </xf>
    <xf numFmtId="3" fontId="23" fillId="3" borderId="19" xfId="0" applyNumberFormat="1" applyFont="1" applyFill="1" applyBorder="1" applyAlignment="1">
      <alignment horizontal="right" vertical="center" indent="1"/>
    </xf>
    <xf numFmtId="3" fontId="26" fillId="3" borderId="19" xfId="0" applyNumberFormat="1" applyFont="1" applyFill="1" applyBorder="1" applyAlignment="1">
      <alignment horizontal="right" vertical="center" indent="1"/>
    </xf>
    <xf numFmtId="10" fontId="23" fillId="3" borderId="19" xfId="1" applyNumberFormat="1" applyFont="1" applyFill="1" applyBorder="1" applyAlignment="1">
      <alignment horizontal="right" vertical="center" indent="1"/>
    </xf>
    <xf numFmtId="9" fontId="23" fillId="3" borderId="19" xfId="1" applyNumberFormat="1" applyFont="1" applyFill="1" applyBorder="1" applyAlignment="1">
      <alignment vertical="center"/>
    </xf>
    <xf numFmtId="9" fontId="23" fillId="3" borderId="19" xfId="1" applyNumberFormat="1" applyFont="1" applyFill="1" applyBorder="1" applyAlignment="1">
      <alignment horizontal="right" vertical="center" indent="1"/>
    </xf>
    <xf numFmtId="9" fontId="23" fillId="3" borderId="19" xfId="0" applyNumberFormat="1" applyFont="1" applyFill="1" applyBorder="1" applyAlignment="1">
      <alignment vertical="center"/>
    </xf>
    <xf numFmtId="9" fontId="23" fillId="11" borderId="19" xfId="1" applyNumberFormat="1" applyFont="1" applyFill="1" applyBorder="1" applyAlignment="1">
      <alignment horizontal="right" vertical="center" indent="1"/>
    </xf>
    <xf numFmtId="9" fontId="23" fillId="3" borderId="19" xfId="0" applyNumberFormat="1" applyFont="1" applyFill="1" applyBorder="1" applyAlignment="1">
      <alignment horizontal="right" vertical="center" indent="1"/>
    </xf>
    <xf numFmtId="9" fontId="26" fillId="3" borderId="19" xfId="0" applyNumberFormat="1" applyFont="1" applyFill="1" applyBorder="1" applyAlignment="1">
      <alignment horizontal="right" vertical="center" indent="1"/>
    </xf>
    <xf numFmtId="3" fontId="22" fillId="3" borderId="19" xfId="0" applyNumberFormat="1" applyFont="1" applyFill="1" applyBorder="1" applyAlignment="1">
      <alignment horizontal="right" vertical="center" indent="1"/>
    </xf>
    <xf numFmtId="1" fontId="12" fillId="2" borderId="19" xfId="1" applyNumberFormat="1" applyFont="1" applyFill="1" applyBorder="1" applyAlignment="1">
      <alignment horizontal="left" vertical="center" wrapText="1"/>
    </xf>
    <xf numFmtId="0" fontId="12" fillId="2" borderId="19" xfId="1" applyFont="1" applyFill="1" applyBorder="1" applyAlignment="1">
      <alignment horizontal="left"/>
    </xf>
    <xf numFmtId="0" fontId="10" fillId="3" borderId="19" xfId="1" applyFont="1" applyFill="1" applyBorder="1" applyAlignment="1">
      <alignment horizontal="right" vertical="center" indent="1"/>
    </xf>
    <xf numFmtId="0" fontId="10" fillId="11" borderId="19" xfId="1" applyFont="1" applyFill="1" applyBorder="1" applyAlignment="1">
      <alignment horizontal="right" vertical="center" indent="1"/>
    </xf>
    <xf numFmtId="3" fontId="10" fillId="3" borderId="19" xfId="1" applyNumberFormat="1" applyFont="1" applyFill="1" applyBorder="1" applyAlignment="1">
      <alignment horizontal="right" vertical="center" indent="1"/>
    </xf>
    <xf numFmtId="3" fontId="10" fillId="11" borderId="19" xfId="1" applyNumberFormat="1" applyFont="1" applyFill="1" applyBorder="1" applyAlignment="1">
      <alignment horizontal="right" vertical="center" indent="1"/>
    </xf>
    <xf numFmtId="9" fontId="10" fillId="3" borderId="19" xfId="1" applyNumberFormat="1" applyFont="1" applyFill="1" applyBorder="1" applyAlignment="1">
      <alignment horizontal="right" vertical="center" indent="1"/>
    </xf>
    <xf numFmtId="9" fontId="10" fillId="11" borderId="19" xfId="1" applyNumberFormat="1" applyFont="1" applyFill="1" applyBorder="1" applyAlignment="1">
      <alignment horizontal="right" vertical="center" indent="1"/>
    </xf>
    <xf numFmtId="0" fontId="9" fillId="2" borderId="19" xfId="1" applyFont="1" applyFill="1" applyBorder="1"/>
    <xf numFmtId="0" fontId="7" fillId="3" borderId="19" xfId="1" applyFont="1" applyFill="1" applyBorder="1" applyAlignment="1">
      <alignment horizontal="right" vertical="center" indent="1"/>
    </xf>
    <xf numFmtId="0" fontId="7" fillId="11" borderId="19" xfId="1" applyFont="1" applyFill="1" applyBorder="1" applyAlignment="1">
      <alignment horizontal="right" vertical="center" indent="1"/>
    </xf>
    <xf numFmtId="1" fontId="22" fillId="3" borderId="19" xfId="1" applyNumberFormat="1" applyFont="1" applyFill="1" applyBorder="1" applyAlignment="1">
      <alignment horizontal="right" vertical="center" indent="1"/>
    </xf>
    <xf numFmtId="1" fontId="22" fillId="3" borderId="19" xfId="1" applyNumberFormat="1" applyFont="1" applyFill="1" applyBorder="1" applyAlignment="1">
      <alignment vertical="center"/>
    </xf>
    <xf numFmtId="1" fontId="22" fillId="11" borderId="19" xfId="1" applyNumberFormat="1" applyFont="1" applyFill="1" applyBorder="1" applyAlignment="1">
      <alignment horizontal="right" vertical="center" indent="1"/>
    </xf>
    <xf numFmtId="3" fontId="22" fillId="3" borderId="19" xfId="1" applyNumberFormat="1" applyFont="1" applyFill="1" applyBorder="1" applyAlignment="1">
      <alignment horizontal="right" vertical="center" wrapText="1" indent="1"/>
    </xf>
    <xf numFmtId="3" fontId="22" fillId="3" borderId="19" xfId="1" applyNumberFormat="1" applyFont="1" applyFill="1" applyBorder="1" applyAlignment="1">
      <alignment vertical="center" wrapText="1"/>
    </xf>
    <xf numFmtId="3" fontId="22" fillId="11" borderId="19" xfId="1" applyNumberFormat="1" applyFont="1" applyFill="1" applyBorder="1" applyAlignment="1">
      <alignment horizontal="right" vertical="center" wrapText="1" indent="1"/>
    </xf>
    <xf numFmtId="3" fontId="22" fillId="0" borderId="19" xfId="1" applyNumberFormat="1" applyFont="1" applyFill="1" applyBorder="1" applyAlignment="1">
      <alignment vertical="center" wrapText="1"/>
    </xf>
    <xf numFmtId="9" fontId="10" fillId="3" borderId="19" xfId="1" applyNumberFormat="1" applyFont="1" applyFill="1" applyBorder="1" applyAlignment="1">
      <alignment horizontal="right" vertical="center" wrapText="1" indent="1"/>
    </xf>
    <xf numFmtId="3" fontId="7" fillId="3" borderId="19" xfId="1" applyNumberFormat="1" applyFont="1" applyFill="1" applyBorder="1" applyAlignment="1">
      <alignment horizontal="right" vertical="center" wrapText="1" indent="1"/>
    </xf>
    <xf numFmtId="9" fontId="23" fillId="3" borderId="19" xfId="1" applyNumberFormat="1" applyFont="1" applyFill="1" applyBorder="1" applyAlignment="1">
      <alignment vertical="center" wrapText="1"/>
    </xf>
    <xf numFmtId="9" fontId="23" fillId="3" borderId="19" xfId="1" applyNumberFormat="1" applyFont="1" applyFill="1" applyBorder="1" applyAlignment="1">
      <alignment horizontal="right" vertical="center" wrapText="1" indent="1"/>
    </xf>
    <xf numFmtId="9" fontId="23" fillId="11" borderId="19" xfId="1" applyNumberFormat="1" applyFont="1" applyFill="1" applyBorder="1" applyAlignment="1">
      <alignment horizontal="right" vertical="center" wrapText="1" indent="1"/>
    </xf>
    <xf numFmtId="3" fontId="10" fillId="3" borderId="19" xfId="1" applyNumberFormat="1" applyFont="1" applyFill="1" applyBorder="1" applyAlignment="1">
      <alignment horizontal="right" vertical="center" wrapText="1" indent="1"/>
    </xf>
    <xf numFmtId="0" fontId="11" fillId="2" borderId="19" xfId="1" applyFont="1" applyFill="1" applyBorder="1" applyAlignment="1">
      <alignment horizontal="right" vertical="center" wrapText="1"/>
    </xf>
    <xf numFmtId="0" fontId="6" fillId="3" borderId="19" xfId="1" applyFont="1" applyFill="1" applyBorder="1" applyAlignment="1">
      <alignment horizontal="right" vertical="center" wrapText="1" indent="1"/>
    </xf>
    <xf numFmtId="0" fontId="24" fillId="3" borderId="19" xfId="1" applyFont="1" applyFill="1" applyBorder="1" applyAlignment="1">
      <alignment vertical="center" wrapText="1"/>
    </xf>
    <xf numFmtId="0" fontId="24" fillId="3" borderId="19" xfId="1" applyFont="1" applyFill="1" applyBorder="1" applyAlignment="1">
      <alignment horizontal="right" vertical="center" wrapText="1" indent="1"/>
    </xf>
    <xf numFmtId="0" fontId="23" fillId="3" borderId="19" xfId="1" applyFont="1" applyFill="1" applyBorder="1" applyAlignment="1">
      <alignment horizontal="right" vertical="center" wrapText="1" indent="1"/>
    </xf>
    <xf numFmtId="0" fontId="23" fillId="3" borderId="19" xfId="1" applyFont="1" applyFill="1" applyBorder="1" applyAlignment="1">
      <alignment vertical="center" wrapText="1"/>
    </xf>
    <xf numFmtId="0" fontId="24" fillId="11" borderId="19" xfId="1" applyFont="1" applyFill="1" applyBorder="1" applyAlignment="1">
      <alignment horizontal="right" vertical="center" wrapText="1" indent="1"/>
    </xf>
    <xf numFmtId="0" fontId="22" fillId="5" borderId="19" xfId="4" applyFont="1" applyFill="1" applyBorder="1" applyAlignment="1" applyProtection="1">
      <alignment horizontal="center"/>
      <protection locked="0"/>
    </xf>
    <xf numFmtId="0" fontId="22" fillId="5" borderId="19" xfId="4" applyFont="1" applyFill="1" applyBorder="1" applyAlignment="1" applyProtection="1">
      <alignment horizontal="right"/>
      <protection locked="0"/>
    </xf>
    <xf numFmtId="0" fontId="23" fillId="3" borderId="19" xfId="1" applyFont="1" applyFill="1" applyBorder="1" applyAlignment="1">
      <alignment horizontal="right" vertical="center" indent="1"/>
    </xf>
    <xf numFmtId="3" fontId="23" fillId="3" borderId="19" xfId="1" applyNumberFormat="1" applyFont="1" applyFill="1" applyBorder="1" applyAlignment="1">
      <alignment horizontal="right" vertical="center" wrapText="1" indent="1"/>
    </xf>
    <xf numFmtId="0" fontId="20" fillId="7" borderId="19" xfId="4" applyFont="1" applyFill="1" applyBorder="1" applyAlignment="1" applyProtection="1">
      <alignment horizontal="center"/>
      <protection locked="0"/>
    </xf>
    <xf numFmtId="1" fontId="20" fillId="7" borderId="19" xfId="4" applyNumberFormat="1" applyFont="1" applyFill="1" applyBorder="1" applyAlignment="1" applyProtection="1">
      <alignment horizontal="center"/>
      <protection locked="0"/>
    </xf>
    <xf numFmtId="3" fontId="20" fillId="7" borderId="19" xfId="4" applyNumberFormat="1" applyFont="1" applyFill="1" applyBorder="1" applyAlignment="1" applyProtection="1">
      <alignment horizontal="right"/>
      <protection locked="0"/>
    </xf>
    <xf numFmtId="3" fontId="20" fillId="7" borderId="19" xfId="4" applyNumberFormat="1" applyFont="1" applyFill="1" applyBorder="1" applyAlignment="1" applyProtection="1">
      <alignment horizontal="center"/>
      <protection locked="0"/>
    </xf>
    <xf numFmtId="1" fontId="9" fillId="0" borderId="19" xfId="1" applyNumberFormat="1" applyFont="1" applyFill="1" applyBorder="1"/>
    <xf numFmtId="1" fontId="9" fillId="0" borderId="19" xfId="1" applyNumberFormat="1" applyFont="1" applyFill="1" applyBorder="1" applyAlignment="1">
      <alignment horizontal="right"/>
    </xf>
    <xf numFmtId="1" fontId="9" fillId="3" borderId="19" xfId="1" applyNumberFormat="1" applyFont="1" applyFill="1" applyBorder="1"/>
    <xf numFmtId="1" fontId="7" fillId="3" borderId="19" xfId="1" applyNumberFormat="1" applyFont="1" applyFill="1" applyBorder="1"/>
    <xf numFmtId="1" fontId="7" fillId="11" borderId="19" xfId="1" applyNumberFormat="1" applyFont="1" applyFill="1" applyBorder="1"/>
    <xf numFmtId="0" fontId="21" fillId="6" borderId="20" xfId="4" applyFont="1" applyFill="1" applyBorder="1" applyAlignment="1" applyProtection="1">
      <alignment horizontal="center"/>
      <protection locked="0"/>
    </xf>
    <xf numFmtId="0" fontId="21" fillId="0" borderId="20" xfId="4" applyFont="1" applyFill="1" applyBorder="1" applyAlignment="1" applyProtection="1">
      <alignment horizontal="center"/>
      <protection locked="0"/>
    </xf>
    <xf numFmtId="0" fontId="20" fillId="7" borderId="19" xfId="4" applyFont="1" applyFill="1" applyBorder="1" applyAlignment="1" applyProtection="1">
      <alignment horizontal="left"/>
      <protection locked="0"/>
    </xf>
    <xf numFmtId="0" fontId="20" fillId="7" borderId="19" xfId="4" applyFont="1" applyFill="1" applyBorder="1" applyAlignment="1" applyProtection="1">
      <alignment horizontal="right"/>
      <protection locked="0"/>
    </xf>
    <xf numFmtId="3" fontId="7" fillId="3" borderId="19" xfId="0" applyNumberFormat="1" applyFont="1" applyFill="1" applyBorder="1" applyAlignment="1">
      <alignment horizontal="right" vertical="center" indent="1"/>
    </xf>
    <xf numFmtId="1" fontId="7" fillId="3" borderId="19" xfId="0" applyNumberFormat="1" applyFont="1" applyFill="1" applyBorder="1" applyAlignment="1">
      <alignment horizontal="right" vertical="center" indent="1"/>
    </xf>
    <xf numFmtId="3" fontId="7" fillId="11" borderId="19" xfId="0" applyNumberFormat="1" applyFont="1" applyFill="1" applyBorder="1" applyAlignment="1">
      <alignment horizontal="right" vertical="center" indent="1"/>
    </xf>
    <xf numFmtId="1" fontId="20" fillId="7" borderId="19" xfId="4" applyNumberFormat="1" applyFont="1" applyFill="1" applyBorder="1" applyAlignment="1" applyProtection="1">
      <alignment horizontal="left"/>
      <protection locked="0"/>
    </xf>
    <xf numFmtId="1" fontId="20" fillId="7" borderId="19" xfId="4" applyNumberFormat="1" applyFont="1" applyFill="1" applyBorder="1" applyAlignment="1" applyProtection="1">
      <alignment horizontal="right"/>
      <protection locked="0"/>
    </xf>
    <xf numFmtId="3" fontId="10" fillId="3" borderId="19" xfId="0" applyNumberFormat="1" applyFont="1" applyFill="1" applyBorder="1" applyAlignment="1">
      <alignment horizontal="right" vertical="center" indent="1"/>
    </xf>
    <xf numFmtId="1" fontId="10" fillId="3" borderId="19" xfId="0" applyNumberFormat="1" applyFont="1" applyFill="1" applyBorder="1" applyAlignment="1">
      <alignment horizontal="right" vertical="center" indent="1"/>
    </xf>
    <xf numFmtId="1" fontId="23" fillId="3" borderId="20" xfId="1" applyNumberFormat="1" applyFont="1" applyFill="1" applyBorder="1" applyAlignment="1">
      <alignment horizontal="right" vertical="center" indent="1"/>
    </xf>
    <xf numFmtId="1" fontId="23" fillId="3" borderId="21" xfId="1" applyNumberFormat="1" applyFont="1" applyFill="1" applyBorder="1" applyAlignment="1">
      <alignment horizontal="right" vertical="center" indent="1"/>
    </xf>
    <xf numFmtId="1" fontId="23" fillId="3" borderId="22" xfId="1" applyNumberFormat="1" applyFont="1" applyFill="1" applyBorder="1" applyAlignment="1">
      <alignment horizontal="right" vertical="center" indent="1"/>
    </xf>
    <xf numFmtId="0" fontId="0" fillId="5" borderId="16" xfId="0" applyFill="1" applyBorder="1" applyAlignment="1"/>
    <xf numFmtId="0" fontId="0" fillId="5" borderId="0" xfId="0" applyFill="1" applyBorder="1" applyAlignment="1"/>
    <xf numFmtId="0" fontId="18" fillId="12" borderId="23" xfId="3" applyFont="1" applyFill="1" applyBorder="1" applyAlignment="1" applyProtection="1">
      <alignment horizontal="center"/>
      <protection locked="0"/>
    </xf>
    <xf numFmtId="0" fontId="0" fillId="2" borderId="16" xfId="0" applyFill="1" applyBorder="1" applyAlignment="1"/>
    <xf numFmtId="0" fontId="18" fillId="2" borderId="23" xfId="3" applyFont="1" applyFill="1" applyBorder="1" applyAlignment="1" applyProtection="1">
      <alignment horizontal="center"/>
      <protection locked="0"/>
    </xf>
    <xf numFmtId="0" fontId="6" fillId="2" borderId="16" xfId="1" applyFont="1" applyFill="1" applyBorder="1" applyAlignment="1">
      <alignment vertical="center"/>
    </xf>
    <xf numFmtId="0" fontId="7" fillId="2" borderId="23" xfId="1" applyFont="1" applyFill="1" applyBorder="1" applyAlignment="1">
      <alignment horizontal="center" vertical="center" wrapText="1"/>
    </xf>
    <xf numFmtId="0" fontId="20" fillId="6" borderId="18" xfId="3" applyFont="1" applyFill="1" applyBorder="1" applyAlignment="1">
      <alignment horizontal="center"/>
    </xf>
    <xf numFmtId="0" fontId="7" fillId="6" borderId="24" xfId="1" applyFont="1" applyFill="1" applyBorder="1" applyAlignment="1">
      <alignment horizontal="center" vertical="center" wrapText="1"/>
    </xf>
    <xf numFmtId="0" fontId="20" fillId="2" borderId="18" xfId="3" applyFont="1" applyFill="1" applyBorder="1" applyAlignment="1">
      <alignment horizontal="center"/>
    </xf>
    <xf numFmtId="0" fontId="22" fillId="2" borderId="18" xfId="2" applyFont="1" applyFill="1" applyBorder="1" applyAlignment="1" applyProtection="1">
      <alignment horizontal="left"/>
      <protection locked="0"/>
    </xf>
    <xf numFmtId="9" fontId="25" fillId="2" borderId="24" xfId="6" applyFont="1" applyFill="1" applyBorder="1" applyAlignment="1" applyProtection="1">
      <alignment horizontal="right"/>
    </xf>
    <xf numFmtId="0" fontId="12" fillId="2" borderId="18" xfId="1" applyFont="1" applyFill="1" applyBorder="1" applyAlignment="1">
      <alignment horizontal="right" vertical="center" wrapText="1" indent="1"/>
    </xf>
    <xf numFmtId="0" fontId="23" fillId="2" borderId="18" xfId="4" applyFont="1" applyFill="1" applyBorder="1" applyProtection="1">
      <protection locked="0"/>
    </xf>
    <xf numFmtId="9" fontId="25" fillId="2" borderId="24" xfId="6" applyFont="1" applyFill="1" applyBorder="1" applyAlignment="1" applyProtection="1"/>
    <xf numFmtId="0" fontId="24" fillId="2" borderId="18" xfId="2" applyFont="1" applyFill="1" applyBorder="1" applyProtection="1">
      <protection locked="0"/>
    </xf>
    <xf numFmtId="0" fontId="24" fillId="2" borderId="18" xfId="2" applyFont="1" applyFill="1" applyBorder="1" applyAlignment="1" applyProtection="1">
      <alignment horizontal="left"/>
      <protection locked="0"/>
    </xf>
    <xf numFmtId="0" fontId="12" fillId="2" borderId="18" xfId="1" applyFont="1" applyFill="1" applyBorder="1" applyAlignment="1">
      <alignment horizontal="left" vertical="center" indent="1"/>
    </xf>
    <xf numFmtId="0" fontId="22" fillId="0" borderId="18" xfId="4" applyFont="1" applyFill="1" applyBorder="1" applyAlignment="1">
      <alignment horizontal="left"/>
    </xf>
    <xf numFmtId="0" fontId="24" fillId="0" borderId="18" xfId="2" applyFont="1" applyFill="1" applyBorder="1" applyAlignment="1" applyProtection="1">
      <alignment horizontal="left"/>
      <protection locked="0"/>
    </xf>
    <xf numFmtId="0" fontId="25" fillId="0" borderId="18" xfId="1" applyFont="1" applyFill="1" applyBorder="1" applyAlignment="1">
      <alignment horizontal="left" vertical="center" wrapText="1" indent="1"/>
    </xf>
    <xf numFmtId="9" fontId="20" fillId="7" borderId="24" xfId="4" applyNumberFormat="1" applyFont="1" applyFill="1" applyBorder="1" applyProtection="1">
      <protection locked="0"/>
    </xf>
    <xf numFmtId="0" fontId="9" fillId="0" borderId="18" xfId="1" applyFont="1" applyFill="1" applyBorder="1"/>
    <xf numFmtId="9" fontId="25" fillId="0" borderId="24" xfId="6" applyFont="1" applyFill="1" applyBorder="1" applyAlignment="1" applyProtection="1">
      <alignment horizontal="center"/>
    </xf>
    <xf numFmtId="0" fontId="21" fillId="6" borderId="24" xfId="4" applyFont="1" applyFill="1" applyBorder="1" applyAlignment="1" applyProtection="1">
      <alignment horizontal="center"/>
      <protection locked="0"/>
    </xf>
    <xf numFmtId="0" fontId="20" fillId="0" borderId="18" xfId="3" applyFont="1" applyFill="1" applyBorder="1" applyAlignment="1">
      <alignment horizontal="center"/>
    </xf>
    <xf numFmtId="0" fontId="21" fillId="0" borderId="24" xfId="4" applyFont="1" applyFill="1" applyBorder="1" applyAlignment="1" applyProtection="1">
      <alignment horizontal="center"/>
      <protection locked="0"/>
    </xf>
    <xf numFmtId="9" fontId="23" fillId="3" borderId="24" xfId="1" applyNumberFormat="1" applyFont="1" applyFill="1" applyBorder="1" applyAlignment="1">
      <alignment vertical="center"/>
    </xf>
    <xf numFmtId="10" fontId="25" fillId="0" borderId="24" xfId="6" applyNumberFormat="1" applyFont="1" applyFill="1" applyBorder="1" applyAlignment="1" applyProtection="1">
      <alignment horizontal="right"/>
    </xf>
    <xf numFmtId="1" fontId="23" fillId="3" borderId="24" xfId="1" applyNumberFormat="1" applyFont="1" applyFill="1" applyBorder="1" applyAlignment="1">
      <alignment horizontal="right" vertical="center" indent="1"/>
    </xf>
    <xf numFmtId="0" fontId="16" fillId="4" borderId="25" xfId="4" applyFont="1" applyFill="1" applyBorder="1" applyAlignment="1" applyProtection="1">
      <alignment horizontal="center"/>
      <protection locked="0"/>
    </xf>
    <xf numFmtId="0" fontId="16" fillId="4" borderId="26" xfId="4" applyFont="1" applyFill="1" applyBorder="1" applyAlignment="1" applyProtection="1">
      <alignment horizontal="center"/>
      <protection locked="0"/>
    </xf>
    <xf numFmtId="0" fontId="16" fillId="4" borderId="26" xfId="4" applyFont="1" applyFill="1" applyBorder="1" applyAlignment="1" applyProtection="1">
      <alignment horizontal="center" wrapText="1"/>
      <protection locked="0"/>
    </xf>
    <xf numFmtId="0" fontId="1" fillId="12" borderId="27" xfId="3" applyFont="1" applyFill="1" applyBorder="1" applyAlignment="1" applyProtection="1">
      <alignment horizontal="center"/>
      <protection locked="0"/>
    </xf>
    <xf numFmtId="0" fontId="0" fillId="5" borderId="28" xfId="0" applyFill="1" applyBorder="1" applyAlignment="1"/>
    <xf numFmtId="0" fontId="0" fillId="5" borderId="26" xfId="0" applyFill="1" applyBorder="1" applyAlignment="1"/>
    <xf numFmtId="0" fontId="10" fillId="5" borderId="26" xfId="1" applyFont="1" applyFill="1" applyBorder="1" applyAlignment="1">
      <alignment horizontal="center" vertical="center" wrapText="1"/>
    </xf>
    <xf numFmtId="0" fontId="18" fillId="12" borderId="27" xfId="3" applyFont="1" applyFill="1" applyBorder="1" applyAlignment="1" applyProtection="1">
      <alignment horizontal="center"/>
      <protection locked="0"/>
    </xf>
    <xf numFmtId="0" fontId="21" fillId="6" borderId="29" xfId="4" applyFont="1" applyFill="1" applyBorder="1" applyAlignment="1" applyProtection="1">
      <alignment horizontal="center" vertical="center"/>
      <protection locked="0"/>
    </xf>
    <xf numFmtId="0" fontId="7" fillId="6" borderId="26" xfId="1" applyFont="1" applyFill="1" applyBorder="1" applyAlignment="1">
      <alignment horizontal="right" vertical="center" wrapText="1" indent="1"/>
    </xf>
    <xf numFmtId="0" fontId="21" fillId="6" borderId="26" xfId="4" applyFont="1" applyFill="1" applyBorder="1" applyAlignment="1" applyProtection="1">
      <alignment horizontal="center" vertical="center"/>
      <protection locked="0"/>
    </xf>
    <xf numFmtId="0" fontId="7" fillId="6" borderId="30" xfId="1" applyFont="1" applyFill="1" applyBorder="1" applyAlignment="1">
      <alignment horizontal="center" vertical="center" wrapText="1"/>
    </xf>
    <xf numFmtId="0" fontId="21" fillId="0" borderId="29" xfId="4" applyFont="1" applyFill="1" applyBorder="1" applyAlignment="1" applyProtection="1">
      <alignment horizontal="center" vertical="center"/>
      <protection locked="0"/>
    </xf>
    <xf numFmtId="0" fontId="7" fillId="0" borderId="26" xfId="1" applyFont="1" applyFill="1" applyBorder="1" applyAlignment="1">
      <alignment horizontal="right" vertical="center" wrapText="1" indent="1"/>
    </xf>
    <xf numFmtId="0" fontId="21" fillId="0" borderId="26" xfId="4" applyFont="1" applyFill="1" applyBorder="1" applyAlignment="1" applyProtection="1">
      <alignment horizontal="center" vertical="center"/>
      <protection locked="0"/>
    </xf>
    <xf numFmtId="0" fontId="7" fillId="0" borderId="31" xfId="1" applyFont="1" applyFill="1" applyBorder="1" applyAlignment="1">
      <alignment horizontal="center" vertical="center" wrapText="1"/>
    </xf>
    <xf numFmtId="3" fontId="22" fillId="2" borderId="29" xfId="4" applyNumberFormat="1" applyFont="1" applyFill="1" applyBorder="1" applyAlignment="1" applyProtection="1">
      <alignment horizontal="right"/>
      <protection locked="0"/>
    </xf>
    <xf numFmtId="3" fontId="22" fillId="2" borderId="26" xfId="4" applyNumberFormat="1" applyFont="1" applyFill="1" applyBorder="1" applyAlignment="1" applyProtection="1">
      <alignment horizontal="right"/>
      <protection locked="0"/>
    </xf>
    <xf numFmtId="9" fontId="23" fillId="2" borderId="31" xfId="4" applyNumberFormat="1" applyFont="1" applyFill="1" applyBorder="1" applyAlignment="1" applyProtection="1">
      <alignment horizontal="right"/>
      <protection locked="0"/>
    </xf>
    <xf numFmtId="164" fontId="22" fillId="2" borderId="29" xfId="4" applyNumberFormat="1" applyFont="1" applyFill="1" applyBorder="1" applyAlignment="1" applyProtection="1">
      <alignment horizontal="right"/>
      <protection locked="0"/>
    </xf>
    <xf numFmtId="164" fontId="22" fillId="2" borderId="26" xfId="4" applyNumberFormat="1" applyFont="1" applyFill="1" applyBorder="1" applyAlignment="1" applyProtection="1">
      <alignment horizontal="right"/>
      <protection locked="0"/>
    </xf>
    <xf numFmtId="3" fontId="22" fillId="2" borderId="29" xfId="4" applyNumberFormat="1" applyFont="1" applyFill="1" applyBorder="1" applyAlignment="1">
      <alignment horizontal="right"/>
    </xf>
    <xf numFmtId="3" fontId="22" fillId="2" borderId="26" xfId="4" applyNumberFormat="1" applyFont="1" applyFill="1" applyBorder="1" applyAlignment="1">
      <alignment horizontal="right"/>
    </xf>
    <xf numFmtId="3" fontId="22" fillId="2" borderId="29" xfId="4" applyNumberFormat="1" applyFont="1" applyFill="1" applyBorder="1" applyAlignment="1"/>
    <xf numFmtId="3" fontId="22" fillId="2" borderId="26" xfId="4" applyNumberFormat="1" applyFont="1" applyFill="1" applyBorder="1" applyAlignment="1"/>
    <xf numFmtId="1" fontId="23" fillId="3" borderId="29" xfId="1" applyNumberFormat="1" applyFont="1" applyFill="1" applyBorder="1" applyAlignment="1">
      <alignment vertical="center"/>
    </xf>
    <xf numFmtId="1" fontId="23" fillId="3" borderId="26" xfId="1" applyNumberFormat="1" applyFont="1" applyFill="1" applyBorder="1" applyAlignment="1">
      <alignment vertical="center"/>
    </xf>
    <xf numFmtId="9" fontId="23" fillId="3" borderId="29" xfId="1" applyNumberFormat="1" applyFont="1" applyFill="1" applyBorder="1" applyAlignment="1">
      <alignment vertical="center"/>
    </xf>
    <xf numFmtId="9" fontId="23" fillId="3" borderId="26" xfId="1" applyNumberFormat="1" applyFont="1" applyFill="1" applyBorder="1" applyAlignment="1">
      <alignment vertical="center"/>
    </xf>
    <xf numFmtId="1" fontId="10" fillId="3" borderId="29" xfId="1" applyNumberFormat="1" applyFont="1" applyFill="1" applyBorder="1" applyAlignment="1">
      <alignment horizontal="right" vertical="center" indent="1"/>
    </xf>
    <xf numFmtId="1" fontId="10" fillId="3" borderId="26" xfId="1" applyNumberFormat="1" applyFont="1" applyFill="1" applyBorder="1" applyAlignment="1">
      <alignment horizontal="right" vertical="center" indent="1"/>
    </xf>
    <xf numFmtId="1" fontId="10" fillId="11" borderId="26" xfId="1" applyNumberFormat="1" applyFont="1" applyFill="1" applyBorder="1" applyAlignment="1">
      <alignment horizontal="right" vertical="center" indent="1"/>
    </xf>
    <xf numFmtId="0" fontId="10" fillId="3" borderId="29" xfId="1" applyFont="1" applyFill="1" applyBorder="1" applyAlignment="1">
      <alignment horizontal="right" vertical="center" indent="1"/>
    </xf>
    <xf numFmtId="0" fontId="10" fillId="3" borderId="26" xfId="1" applyFont="1" applyFill="1" applyBorder="1" applyAlignment="1">
      <alignment horizontal="right" vertical="center" indent="1"/>
    </xf>
    <xf numFmtId="0" fontId="10" fillId="11" borderId="26" xfId="1" applyFont="1" applyFill="1" applyBorder="1" applyAlignment="1">
      <alignment horizontal="right" vertical="center" indent="1"/>
    </xf>
    <xf numFmtId="3" fontId="10" fillId="3" borderId="29" xfId="1" applyNumberFormat="1" applyFont="1" applyFill="1" applyBorder="1" applyAlignment="1">
      <alignment horizontal="right" vertical="center" indent="1"/>
    </xf>
    <xf numFmtId="3" fontId="10" fillId="3" borderId="26" xfId="1" applyNumberFormat="1" applyFont="1" applyFill="1" applyBorder="1" applyAlignment="1">
      <alignment horizontal="right" vertical="center" indent="1"/>
    </xf>
    <xf numFmtId="3" fontId="10" fillId="11" borderId="26" xfId="1" applyNumberFormat="1" applyFont="1" applyFill="1" applyBorder="1" applyAlignment="1">
      <alignment horizontal="right" vertical="center" indent="1"/>
    </xf>
    <xf numFmtId="9" fontId="10" fillId="3" borderId="29" xfId="1" applyNumberFormat="1" applyFont="1" applyFill="1" applyBorder="1" applyAlignment="1">
      <alignment horizontal="right" vertical="center" indent="1"/>
    </xf>
    <xf numFmtId="9" fontId="10" fillId="3" borderId="26" xfId="1" applyNumberFormat="1" applyFont="1" applyFill="1" applyBorder="1" applyAlignment="1">
      <alignment horizontal="right" vertical="center" indent="1"/>
    </xf>
    <xf numFmtId="9" fontId="10" fillId="11" borderId="26" xfId="1" applyNumberFormat="1" applyFont="1" applyFill="1" applyBorder="1" applyAlignment="1">
      <alignment horizontal="right" vertical="center" indent="1"/>
    </xf>
    <xf numFmtId="0" fontId="7" fillId="3" borderId="29" xfId="1" applyFont="1" applyFill="1" applyBorder="1" applyAlignment="1">
      <alignment horizontal="right" vertical="center" indent="1"/>
    </xf>
    <xf numFmtId="0" fontId="7" fillId="3" borderId="26" xfId="1" applyFont="1" applyFill="1" applyBorder="1" applyAlignment="1">
      <alignment horizontal="right" vertical="center" indent="1"/>
    </xf>
    <xf numFmtId="0" fontId="7" fillId="11" borderId="26" xfId="1" applyFont="1" applyFill="1" applyBorder="1" applyAlignment="1">
      <alignment horizontal="right" vertical="center" indent="1"/>
    </xf>
    <xf numFmtId="167" fontId="22" fillId="0" borderId="29" xfId="4" applyNumberFormat="1" applyFont="1" applyBorder="1"/>
    <xf numFmtId="167" fontId="22" fillId="0" borderId="26" xfId="4" applyNumberFormat="1" applyFont="1" applyBorder="1"/>
    <xf numFmtId="3" fontId="22" fillId="3" borderId="29" xfId="1" applyNumberFormat="1" applyFont="1" applyFill="1" applyBorder="1" applyAlignment="1">
      <alignment vertical="center" wrapText="1"/>
    </xf>
    <xf numFmtId="3" fontId="22" fillId="3" borderId="26" xfId="1" applyNumberFormat="1" applyFont="1" applyFill="1" applyBorder="1" applyAlignment="1">
      <alignment vertical="center" wrapText="1"/>
    </xf>
    <xf numFmtId="9" fontId="23" fillId="3" borderId="29" xfId="1" applyNumberFormat="1" applyFont="1" applyFill="1" applyBorder="1" applyAlignment="1">
      <alignment vertical="center" wrapText="1"/>
    </xf>
    <xf numFmtId="9" fontId="23" fillId="3" borderId="26" xfId="1" applyNumberFormat="1" applyFont="1" applyFill="1" applyBorder="1" applyAlignment="1">
      <alignment vertical="center" wrapText="1"/>
    </xf>
    <xf numFmtId="9" fontId="23" fillId="3" borderId="26" xfId="1" applyNumberFormat="1" applyFont="1" applyFill="1" applyBorder="1" applyAlignment="1">
      <alignment horizontal="right" vertical="center" wrapText="1" indent="1"/>
    </xf>
    <xf numFmtId="9" fontId="10" fillId="3" borderId="29" xfId="1" applyNumberFormat="1" applyFont="1" applyFill="1" applyBorder="1" applyAlignment="1">
      <alignment horizontal="right" vertical="center" wrapText="1" indent="1"/>
    </xf>
    <xf numFmtId="3" fontId="10" fillId="3" borderId="26" xfId="1" applyNumberFormat="1" applyFont="1" applyFill="1" applyBorder="1" applyAlignment="1">
      <alignment horizontal="right" vertical="center" wrapText="1" indent="1"/>
    </xf>
    <xf numFmtId="9" fontId="10" fillId="3" borderId="26" xfId="1" applyNumberFormat="1" applyFont="1" applyFill="1" applyBorder="1" applyAlignment="1">
      <alignment horizontal="right" vertical="center" wrapText="1" indent="1"/>
    </xf>
    <xf numFmtId="9" fontId="10" fillId="11" borderId="26" xfId="1" applyNumberFormat="1" applyFont="1" applyFill="1" applyBorder="1" applyAlignment="1">
      <alignment horizontal="right" vertical="center" wrapText="1" indent="1"/>
    </xf>
    <xf numFmtId="0" fontId="22" fillId="5" borderId="29" xfId="4" applyFont="1" applyFill="1" applyBorder="1" applyAlignment="1" applyProtection="1">
      <alignment horizontal="right"/>
      <protection locked="0"/>
    </xf>
    <xf numFmtId="0" fontId="22" fillId="5" borderId="26" xfId="4" applyFont="1" applyFill="1" applyBorder="1" applyAlignment="1" applyProtection="1">
      <alignment horizontal="right"/>
      <protection locked="0"/>
    </xf>
    <xf numFmtId="9" fontId="22" fillId="5" borderId="31" xfId="4" applyNumberFormat="1" applyFont="1" applyFill="1" applyBorder="1" applyAlignment="1" applyProtection="1">
      <alignment horizontal="right"/>
      <protection locked="0"/>
    </xf>
    <xf numFmtId="0" fontId="23" fillId="3" borderId="29" xfId="1" applyFont="1" applyFill="1" applyBorder="1" applyAlignment="1">
      <alignment vertical="center"/>
    </xf>
    <xf numFmtId="0" fontId="23" fillId="3" borderId="26" xfId="1" applyFont="1" applyFill="1" applyBorder="1" applyAlignment="1">
      <alignment vertical="center"/>
    </xf>
    <xf numFmtId="3" fontId="20" fillId="7" borderId="29" xfId="4" applyNumberFormat="1" applyFont="1" applyFill="1" applyBorder="1" applyAlignment="1" applyProtection="1">
      <alignment horizontal="right"/>
      <protection locked="0"/>
    </xf>
    <xf numFmtId="3" fontId="20" fillId="7" borderId="26" xfId="4" applyNumberFormat="1" applyFont="1" applyFill="1" applyBorder="1" applyAlignment="1" applyProtection="1">
      <alignment horizontal="right"/>
      <protection locked="0"/>
    </xf>
    <xf numFmtId="9" fontId="20" fillId="7" borderId="27" xfId="4" applyNumberFormat="1" applyFont="1" applyFill="1" applyBorder="1" applyAlignment="1" applyProtection="1">
      <alignment horizontal="right"/>
      <protection locked="0"/>
    </xf>
    <xf numFmtId="1" fontId="7" fillId="3" borderId="28" xfId="1" applyNumberFormat="1" applyFont="1" applyFill="1" applyBorder="1"/>
    <xf numFmtId="0" fontId="9" fillId="0" borderId="26" xfId="1" applyFont="1" applyFill="1" applyBorder="1"/>
    <xf numFmtId="0" fontId="9" fillId="13" borderId="26" xfId="1" applyFont="1" applyFill="1" applyBorder="1"/>
    <xf numFmtId="1" fontId="7" fillId="8" borderId="28" xfId="1" applyNumberFormat="1" applyFont="1" applyFill="1" applyBorder="1"/>
    <xf numFmtId="1" fontId="7" fillId="8" borderId="26" xfId="1" applyNumberFormat="1" applyFont="1" applyFill="1" applyBorder="1"/>
    <xf numFmtId="9" fontId="23" fillId="6" borderId="31" xfId="4" applyNumberFormat="1" applyFont="1" applyFill="1" applyBorder="1" applyAlignment="1" applyProtection="1">
      <alignment horizontal="right"/>
      <protection locked="0"/>
    </xf>
    <xf numFmtId="1" fontId="7" fillId="0" borderId="28" xfId="1" applyNumberFormat="1" applyFont="1" applyFill="1" applyBorder="1"/>
    <xf numFmtId="1" fontId="7" fillId="0" borderId="26" xfId="1" applyNumberFormat="1" applyFont="1" applyFill="1" applyBorder="1"/>
    <xf numFmtId="1" fontId="22" fillId="5" borderId="32" xfId="4" applyNumberFormat="1" applyFont="1" applyFill="1" applyBorder="1" applyAlignment="1" applyProtection="1">
      <alignment horizontal="right"/>
      <protection locked="0"/>
    </xf>
    <xf numFmtId="1" fontId="22" fillId="5" borderId="26" xfId="4" applyNumberFormat="1" applyFont="1" applyFill="1" applyBorder="1" applyAlignment="1" applyProtection="1">
      <alignment horizontal="right"/>
      <protection locked="0"/>
    </xf>
    <xf numFmtId="1" fontId="23" fillId="3" borderId="32" xfId="1" applyNumberFormat="1" applyFont="1" applyFill="1" applyBorder="1" applyAlignment="1">
      <alignment vertical="center"/>
    </xf>
    <xf numFmtId="1" fontId="23" fillId="3" borderId="26" xfId="1" applyNumberFormat="1" applyFont="1" applyFill="1" applyBorder="1" applyAlignment="1">
      <alignment horizontal="right" vertical="center" indent="1"/>
    </xf>
    <xf numFmtId="3" fontId="10" fillId="3" borderId="32" xfId="1" applyNumberFormat="1" applyFont="1" applyFill="1" applyBorder="1" applyAlignment="1">
      <alignment vertical="center" wrapText="1"/>
    </xf>
    <xf numFmtId="3" fontId="10" fillId="3" borderId="26" xfId="1" applyNumberFormat="1" applyFont="1" applyFill="1" applyBorder="1" applyAlignment="1">
      <alignment vertical="center" wrapText="1"/>
    </xf>
    <xf numFmtId="3" fontId="10" fillId="11" borderId="26" xfId="1" applyNumberFormat="1" applyFont="1" applyFill="1" applyBorder="1" applyAlignment="1">
      <alignment horizontal="right" vertical="center" wrapText="1" indent="1"/>
    </xf>
    <xf numFmtId="3" fontId="20" fillId="7" borderId="32" xfId="4" applyNumberFormat="1" applyFont="1" applyFill="1" applyBorder="1" applyAlignment="1" applyProtection="1">
      <alignment horizontal="right"/>
      <protection locked="0"/>
    </xf>
    <xf numFmtId="3" fontId="7" fillId="3" borderId="32" xfId="0" applyNumberFormat="1" applyFont="1" applyFill="1" applyBorder="1" applyAlignment="1">
      <alignment horizontal="right" vertical="center" indent="1"/>
    </xf>
    <xf numFmtId="0" fontId="9" fillId="0" borderId="26" xfId="1" applyFont="1" applyFill="1" applyBorder="1" applyAlignment="1">
      <alignment horizontal="center"/>
    </xf>
    <xf numFmtId="0" fontId="9" fillId="13" borderId="26" xfId="1" applyFont="1" applyFill="1" applyBorder="1" applyAlignment="1">
      <alignment horizontal="center"/>
    </xf>
    <xf numFmtId="3" fontId="22" fillId="2" borderId="20" xfId="4" applyNumberFormat="1" applyFont="1" applyFill="1" applyBorder="1" applyProtection="1">
      <protection locked="0"/>
    </xf>
    <xf numFmtId="164" fontId="22" fillId="2" borderId="20" xfId="4" applyNumberFormat="1" applyFont="1" applyFill="1" applyBorder="1" applyAlignment="1" applyProtection="1">
      <alignment horizontal="right"/>
      <protection locked="0"/>
    </xf>
    <xf numFmtId="3" fontId="22" fillId="2" borderId="20" xfId="4" applyNumberFormat="1" applyFont="1" applyFill="1" applyBorder="1"/>
    <xf numFmtId="1" fontId="10" fillId="3" borderId="20" xfId="1" applyNumberFormat="1" applyFont="1" applyFill="1" applyBorder="1" applyAlignment="1">
      <alignment horizontal="right" vertical="center" indent="1"/>
    </xf>
    <xf numFmtId="10" fontId="23" fillId="3" borderId="20" xfId="1" applyNumberFormat="1" applyFont="1" applyFill="1" applyBorder="1" applyAlignment="1">
      <alignment horizontal="right" vertical="center" indent="1"/>
    </xf>
    <xf numFmtId="0" fontId="10" fillId="3" borderId="20" xfId="1" applyFont="1" applyFill="1" applyBorder="1" applyAlignment="1">
      <alignment horizontal="right" vertical="center" indent="1"/>
    </xf>
    <xf numFmtId="3" fontId="10" fillId="3" borderId="20" xfId="1" applyNumberFormat="1" applyFont="1" applyFill="1" applyBorder="1" applyAlignment="1">
      <alignment horizontal="right" vertical="center" indent="1"/>
    </xf>
    <xf numFmtId="9" fontId="10" fillId="3" borderId="20" xfId="1" applyNumberFormat="1" applyFont="1" applyFill="1" applyBorder="1" applyAlignment="1">
      <alignment horizontal="right" vertical="center" indent="1"/>
    </xf>
    <xf numFmtId="0" fontId="7" fillId="3" borderId="20" xfId="1" applyFont="1" applyFill="1" applyBorder="1" applyAlignment="1">
      <alignment horizontal="right" vertical="center" indent="1"/>
    </xf>
    <xf numFmtId="1" fontId="22" fillId="3" borderId="20" xfId="1" applyNumberFormat="1" applyFont="1" applyFill="1" applyBorder="1" applyAlignment="1">
      <alignment horizontal="right" vertical="center" indent="1"/>
    </xf>
    <xf numFmtId="3" fontId="22" fillId="3" borderId="20" xfId="1" applyNumberFormat="1" applyFont="1" applyFill="1" applyBorder="1" applyAlignment="1">
      <alignment horizontal="right" vertical="center" wrapText="1" indent="1"/>
    </xf>
    <xf numFmtId="3" fontId="7" fillId="3" borderId="20" xfId="1" applyNumberFormat="1" applyFont="1" applyFill="1" applyBorder="1" applyAlignment="1">
      <alignment horizontal="right" vertical="center" wrapText="1" indent="1"/>
    </xf>
    <xf numFmtId="0" fontId="6" fillId="3" borderId="20" xfId="1" applyFont="1" applyFill="1" applyBorder="1" applyAlignment="1">
      <alignment horizontal="right" vertical="center" wrapText="1" indent="1"/>
    </xf>
    <xf numFmtId="0" fontId="22" fillId="5" borderId="20" xfId="4" applyFont="1" applyFill="1" applyBorder="1" applyAlignment="1" applyProtection="1">
      <alignment horizontal="center"/>
      <protection locked="0"/>
    </xf>
    <xf numFmtId="0" fontId="20" fillId="7" borderId="20" xfId="4" applyFont="1" applyFill="1" applyBorder="1" applyAlignment="1" applyProtection="1">
      <alignment horizontal="center"/>
      <protection locked="0"/>
    </xf>
    <xf numFmtId="1" fontId="7" fillId="3" borderId="20" xfId="1" applyNumberFormat="1" applyFont="1" applyFill="1" applyBorder="1"/>
    <xf numFmtId="0" fontId="20" fillId="7" borderId="20" xfId="4" applyFont="1" applyFill="1" applyBorder="1" applyAlignment="1" applyProtection="1">
      <alignment horizontal="left"/>
      <protection locked="0"/>
    </xf>
    <xf numFmtId="3" fontId="7" fillId="3" borderId="20" xfId="0" applyNumberFormat="1" applyFont="1" applyFill="1" applyBorder="1" applyAlignment="1">
      <alignment horizontal="right" vertical="center" indent="1"/>
    </xf>
    <xf numFmtId="1" fontId="20" fillId="7" borderId="20" xfId="4" applyNumberFormat="1" applyFont="1" applyFill="1" applyBorder="1" applyAlignment="1" applyProtection="1">
      <alignment horizontal="left"/>
      <protection locked="0"/>
    </xf>
    <xf numFmtId="0" fontId="0" fillId="5" borderId="33" xfId="0" applyFill="1" applyBorder="1" applyAlignment="1"/>
    <xf numFmtId="0" fontId="0" fillId="2" borderId="33" xfId="0" applyFill="1" applyBorder="1" applyAlignment="1"/>
    <xf numFmtId="0" fontId="6" fillId="2" borderId="33" xfId="1" applyFont="1" applyFill="1" applyBorder="1" applyAlignment="1">
      <alignment vertical="center"/>
    </xf>
    <xf numFmtId="0" fontId="21" fillId="6" borderId="18" xfId="4" applyFont="1" applyFill="1" applyBorder="1" applyAlignment="1" applyProtection="1">
      <alignment horizontal="center" vertical="center"/>
      <protection locked="0"/>
    </xf>
    <xf numFmtId="0" fontId="21" fillId="2" borderId="18" xfId="4" applyFont="1" applyFill="1" applyBorder="1" applyAlignment="1" applyProtection="1">
      <alignment horizontal="right" vertical="center"/>
      <protection locked="0"/>
    </xf>
    <xf numFmtId="3" fontId="22" fillId="2" borderId="18" xfId="4" applyNumberFormat="1" applyFont="1" applyFill="1" applyBorder="1" applyAlignment="1" applyProtection="1">
      <alignment horizontal="right"/>
      <protection locked="0"/>
    </xf>
    <xf numFmtId="164" fontId="22" fillId="2" borderId="18" xfId="4" applyNumberFormat="1" applyFont="1" applyFill="1" applyBorder="1" applyAlignment="1" applyProtection="1">
      <alignment horizontal="right"/>
      <protection locked="0"/>
    </xf>
    <xf numFmtId="3" fontId="22" fillId="2" borderId="18" xfId="4" applyNumberFormat="1" applyFont="1" applyFill="1" applyBorder="1" applyAlignment="1">
      <alignment horizontal="right"/>
    </xf>
    <xf numFmtId="0" fontId="0" fillId="0" borderId="18" xfId="0" applyBorder="1" applyAlignment="1">
      <alignment horizontal="right"/>
    </xf>
    <xf numFmtId="1" fontId="23" fillId="3" borderId="18" xfId="1" applyNumberFormat="1" applyFont="1" applyFill="1" applyBorder="1" applyAlignment="1">
      <alignment vertical="center"/>
    </xf>
    <xf numFmtId="9" fontId="23" fillId="3" borderId="18" xfId="1" applyNumberFormat="1" applyFont="1" applyFill="1" applyBorder="1" applyAlignment="1">
      <alignment vertical="center"/>
    </xf>
    <xf numFmtId="1" fontId="23" fillId="3" borderId="18" xfId="1" applyNumberFormat="1" applyFont="1" applyFill="1" applyBorder="1" applyAlignment="1">
      <alignment horizontal="right" vertical="center" indent="1"/>
    </xf>
    <xf numFmtId="0" fontId="10" fillId="3" borderId="18" xfId="1" applyFont="1" applyFill="1" applyBorder="1" applyAlignment="1">
      <alignment horizontal="right" vertical="center" indent="1"/>
    </xf>
    <xf numFmtId="3" fontId="10" fillId="3" borderId="18" xfId="1" applyNumberFormat="1" applyFont="1" applyFill="1" applyBorder="1" applyAlignment="1">
      <alignment horizontal="right" vertical="center" indent="1"/>
    </xf>
    <xf numFmtId="9" fontId="10" fillId="3" borderId="18" xfId="1" applyNumberFormat="1" applyFont="1" applyFill="1" applyBorder="1" applyAlignment="1">
      <alignment horizontal="right" vertical="center" indent="1"/>
    </xf>
    <xf numFmtId="0" fontId="7" fillId="3" borderId="18" xfId="1" applyFont="1" applyFill="1" applyBorder="1" applyAlignment="1">
      <alignment horizontal="right" vertical="center" indent="1"/>
    </xf>
    <xf numFmtId="1" fontId="22" fillId="3" borderId="18" xfId="1" applyNumberFormat="1" applyFont="1" applyFill="1" applyBorder="1" applyAlignment="1">
      <alignment vertical="center"/>
    </xf>
    <xf numFmtId="3" fontId="22" fillId="3" borderId="18" xfId="1" applyNumberFormat="1" applyFont="1" applyFill="1" applyBorder="1" applyAlignment="1">
      <alignment vertical="center" wrapText="1"/>
    </xf>
    <xf numFmtId="9" fontId="23" fillId="3" borderId="18" xfId="1" applyNumberFormat="1" applyFont="1" applyFill="1" applyBorder="1" applyAlignment="1">
      <alignment vertical="center" wrapText="1"/>
    </xf>
    <xf numFmtId="0" fontId="24" fillId="3" borderId="18" xfId="1" applyFont="1" applyFill="1" applyBorder="1" applyAlignment="1">
      <alignment vertical="center" wrapText="1"/>
    </xf>
    <xf numFmtId="0" fontId="22" fillId="5" borderId="18" xfId="4" applyFont="1" applyFill="1" applyBorder="1" applyAlignment="1" applyProtection="1">
      <alignment horizontal="right"/>
      <protection locked="0"/>
    </xf>
    <xf numFmtId="3" fontId="20" fillId="7" borderId="18" xfId="4" applyNumberFormat="1" applyFont="1" applyFill="1" applyBorder="1" applyAlignment="1" applyProtection="1">
      <alignment horizontal="right"/>
      <protection locked="0"/>
    </xf>
    <xf numFmtId="1" fontId="7" fillId="3" borderId="18" xfId="1" applyNumberFormat="1" applyFont="1" applyFill="1" applyBorder="1"/>
    <xf numFmtId="0" fontId="21" fillId="6" borderId="18" xfId="4" applyFont="1" applyFill="1" applyBorder="1" applyAlignment="1" applyProtection="1">
      <alignment horizontal="center"/>
      <protection locked="0"/>
    </xf>
    <xf numFmtId="0" fontId="21" fillId="0" borderId="18" xfId="4" applyFont="1" applyFill="1" applyBorder="1" applyAlignment="1" applyProtection="1">
      <alignment horizontal="center"/>
      <protection locked="0"/>
    </xf>
    <xf numFmtId="0" fontId="20" fillId="7" borderId="18" xfId="4" applyFont="1" applyFill="1" applyBorder="1" applyAlignment="1" applyProtection="1">
      <alignment horizontal="right"/>
      <protection locked="0"/>
    </xf>
    <xf numFmtId="3" fontId="7" fillId="3" borderId="18" xfId="0" applyNumberFormat="1" applyFont="1" applyFill="1" applyBorder="1" applyAlignment="1">
      <alignment horizontal="right" vertical="center" indent="1"/>
    </xf>
    <xf numFmtId="1" fontId="20" fillId="7" borderId="18" xfId="4" applyNumberFormat="1" applyFont="1" applyFill="1" applyBorder="1" applyAlignment="1" applyProtection="1">
      <alignment horizontal="right"/>
      <protection locked="0"/>
    </xf>
    <xf numFmtId="0" fontId="16" fillId="4" borderId="34" xfId="4" applyFont="1" applyFill="1" applyBorder="1" applyAlignment="1">
      <alignment horizontal="left"/>
    </xf>
    <xf numFmtId="0" fontId="16" fillId="4" borderId="35" xfId="4" applyFont="1" applyFill="1" applyBorder="1" applyAlignment="1" applyProtection="1">
      <alignment horizontal="center"/>
      <protection locked="0"/>
    </xf>
    <xf numFmtId="0" fontId="16" fillId="4" borderId="36" xfId="4" applyFont="1" applyFill="1" applyBorder="1" applyAlignment="1" applyProtection="1">
      <alignment horizontal="center"/>
      <protection locked="0"/>
    </xf>
    <xf numFmtId="0" fontId="16" fillId="4" borderId="37" xfId="4" applyFont="1" applyFill="1" applyBorder="1" applyAlignment="1" applyProtection="1">
      <alignment horizontal="center"/>
      <protection locked="0"/>
    </xf>
    <xf numFmtId="0" fontId="16" fillId="4" borderId="38" xfId="4" applyFont="1" applyFill="1" applyBorder="1" applyAlignment="1" applyProtection="1">
      <alignment horizontal="center"/>
      <protection locked="0"/>
    </xf>
    <xf numFmtId="0" fontId="16" fillId="4" borderId="38" xfId="4" applyFont="1" applyFill="1" applyBorder="1" applyAlignment="1" applyProtection="1">
      <alignment horizontal="center" wrapText="1"/>
      <protection locked="0"/>
    </xf>
    <xf numFmtId="0" fontId="1" fillId="12" borderId="39" xfId="3" applyFont="1" applyFill="1" applyBorder="1" applyAlignment="1" applyProtection="1">
      <alignment horizontal="center"/>
      <protection locked="0"/>
    </xf>
    <xf numFmtId="0" fontId="7" fillId="9" borderId="19" xfId="1" applyFont="1" applyFill="1" applyBorder="1" applyAlignment="1">
      <alignment horizontal="center" vertical="center" wrapText="1"/>
    </xf>
    <xf numFmtId="0" fontId="10" fillId="9" borderId="19" xfId="1" applyFont="1" applyFill="1" applyBorder="1" applyAlignment="1">
      <alignment horizontal="center" vertical="center" wrapText="1"/>
    </xf>
    <xf numFmtId="0" fontId="6" fillId="9" borderId="19" xfId="1" applyFont="1" applyFill="1" applyBorder="1" applyAlignment="1">
      <alignment vertical="center"/>
    </xf>
    <xf numFmtId="0" fontId="10" fillId="9" borderId="19" xfId="1" applyFont="1" applyFill="1" applyBorder="1" applyAlignment="1">
      <alignment vertical="center"/>
    </xf>
    <xf numFmtId="0" fontId="0" fillId="9" borderId="19" xfId="0" applyFill="1" applyBorder="1"/>
    <xf numFmtId="0" fontId="7" fillId="0" borderId="19" xfId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vertical="center"/>
    </xf>
    <xf numFmtId="0" fontId="10" fillId="0" borderId="19" xfId="1" applyFont="1" applyFill="1" applyBorder="1" applyAlignment="1">
      <alignment vertical="center"/>
    </xf>
    <xf numFmtId="0" fontId="21" fillId="0" borderId="19" xfId="4" applyFont="1" applyFill="1" applyBorder="1" applyAlignment="1" applyProtection="1">
      <alignment horizontal="center" vertical="center"/>
      <protection locked="0"/>
    </xf>
    <xf numFmtId="0" fontId="7" fillId="0" borderId="19" xfId="1" applyFont="1" applyFill="1" applyBorder="1" applyAlignment="1">
      <alignment horizontal="right" vertical="center" wrapText="1" indent="1"/>
    </xf>
    <xf numFmtId="3" fontId="22" fillId="3" borderId="19" xfId="0" applyNumberFormat="1" applyFont="1" applyFill="1" applyBorder="1" applyAlignment="1">
      <alignment vertical="center"/>
    </xf>
    <xf numFmtId="2" fontId="22" fillId="3" borderId="19" xfId="0" applyNumberFormat="1" applyFont="1" applyFill="1" applyBorder="1" applyAlignment="1">
      <alignment horizontal="right" vertical="center" indent="1"/>
    </xf>
    <xf numFmtId="2" fontId="22" fillId="3" borderId="19" xfId="0" applyNumberFormat="1" applyFont="1" applyFill="1" applyBorder="1" applyAlignment="1">
      <alignment vertical="center"/>
    </xf>
    <xf numFmtId="4" fontId="22" fillId="3" borderId="19" xfId="0" applyNumberFormat="1" applyFont="1" applyFill="1" applyBorder="1" applyAlignment="1">
      <alignment horizontal="right" vertical="center" indent="1"/>
    </xf>
    <xf numFmtId="1" fontId="30" fillId="3" borderId="19" xfId="1" applyNumberFormat="1" applyFont="1" applyFill="1" applyBorder="1" applyAlignment="1">
      <alignment horizontal="right" vertical="center" indent="1"/>
    </xf>
    <xf numFmtId="9" fontId="30" fillId="3" borderId="19" xfId="5" applyFont="1" applyFill="1" applyBorder="1" applyAlignment="1">
      <alignment horizontal="right" vertical="center" indent="1"/>
    </xf>
    <xf numFmtId="1" fontId="25" fillId="2" borderId="19" xfId="1" applyNumberFormat="1" applyFont="1" applyFill="1" applyBorder="1" applyAlignment="1">
      <alignment horizontal="left" vertical="center" wrapText="1"/>
    </xf>
    <xf numFmtId="0" fontId="25" fillId="2" borderId="19" xfId="1" applyFont="1" applyFill="1" applyBorder="1" applyAlignment="1">
      <alignment horizontal="left"/>
    </xf>
    <xf numFmtId="3" fontId="23" fillId="3" borderId="19" xfId="1" applyNumberFormat="1" applyFont="1" applyFill="1" applyBorder="1" applyAlignment="1">
      <alignment horizontal="right" vertical="center" indent="1"/>
    </xf>
    <xf numFmtId="3" fontId="23" fillId="3" borderId="19" xfId="1" applyNumberFormat="1" applyFont="1" applyFill="1" applyBorder="1" applyAlignment="1">
      <alignment vertical="center"/>
    </xf>
    <xf numFmtId="0" fontId="28" fillId="2" borderId="19" xfId="1" applyFont="1" applyFill="1" applyBorder="1"/>
    <xf numFmtId="0" fontId="22" fillId="3" borderId="19" xfId="1" applyFont="1" applyFill="1" applyBorder="1" applyAlignment="1">
      <alignment horizontal="right" vertical="center" indent="1"/>
    </xf>
    <xf numFmtId="9" fontId="23" fillId="3" borderId="19" xfId="5" applyFont="1" applyFill="1" applyBorder="1" applyAlignment="1">
      <alignment horizontal="right" vertical="center" indent="1"/>
    </xf>
    <xf numFmtId="3" fontId="22" fillId="0" borderId="19" xfId="1" applyNumberFormat="1" applyFont="1" applyFill="1" applyBorder="1" applyAlignment="1">
      <alignment horizontal="right" vertical="center" wrapText="1" indent="1"/>
    </xf>
    <xf numFmtId="0" fontId="32" fillId="2" borderId="19" xfId="1" applyFont="1" applyFill="1" applyBorder="1" applyAlignment="1">
      <alignment horizontal="right" vertical="center" wrapText="1"/>
    </xf>
    <xf numFmtId="1" fontId="23" fillId="3" borderId="19" xfId="1" applyNumberFormat="1" applyFont="1" applyFill="1" applyBorder="1" applyAlignment="1">
      <alignment horizontal="right" vertical="center" wrapText="1" indent="1"/>
    </xf>
    <xf numFmtId="0" fontId="22" fillId="10" borderId="19" xfId="1" applyFont="1" applyFill="1" applyBorder="1" applyAlignment="1">
      <alignment horizontal="right" vertical="center" indent="1"/>
    </xf>
    <xf numFmtId="1" fontId="22" fillId="10" borderId="19" xfId="1" applyNumberFormat="1" applyFont="1" applyFill="1" applyBorder="1" applyAlignment="1">
      <alignment horizontal="right" vertical="center" indent="1"/>
    </xf>
    <xf numFmtId="3" fontId="22" fillId="10" borderId="19" xfId="1" applyNumberFormat="1" applyFont="1" applyFill="1" applyBorder="1" applyAlignment="1">
      <alignment horizontal="right" vertical="center" indent="1"/>
    </xf>
    <xf numFmtId="1" fontId="20" fillId="7" borderId="19" xfId="4" applyNumberFormat="1" applyFont="1" applyFill="1" applyBorder="1" applyAlignment="1" applyProtection="1">
      <alignment vertical="center"/>
      <protection locked="0"/>
    </xf>
    <xf numFmtId="1" fontId="28" fillId="0" borderId="19" xfId="1" applyNumberFormat="1" applyFont="1" applyFill="1" applyBorder="1"/>
    <xf numFmtId="1" fontId="28" fillId="0" borderId="19" xfId="1" applyNumberFormat="1" applyFont="1" applyFill="1" applyBorder="1" applyAlignment="1">
      <alignment horizontal="right"/>
    </xf>
    <xf numFmtId="1" fontId="28" fillId="3" borderId="19" xfId="1" applyNumberFormat="1" applyFont="1" applyFill="1" applyBorder="1"/>
    <xf numFmtId="1" fontId="22" fillId="3" borderId="19" xfId="1" applyNumberFormat="1" applyFont="1" applyFill="1" applyBorder="1"/>
    <xf numFmtId="1" fontId="22" fillId="0" borderId="19" xfId="1" applyNumberFormat="1" applyFont="1" applyFill="1" applyBorder="1"/>
    <xf numFmtId="0" fontId="28" fillId="0" borderId="19" xfId="1" applyFont="1" applyFill="1" applyBorder="1"/>
    <xf numFmtId="1" fontId="28" fillId="6" borderId="19" xfId="1" applyNumberFormat="1" applyFont="1" applyFill="1" applyBorder="1"/>
    <xf numFmtId="1" fontId="28" fillId="6" borderId="19" xfId="1" applyNumberFormat="1" applyFont="1" applyFill="1" applyBorder="1" applyAlignment="1">
      <alignment horizontal="right"/>
    </xf>
    <xf numFmtId="1" fontId="28" fillId="8" borderId="19" xfId="1" applyNumberFormat="1" applyFont="1" applyFill="1" applyBorder="1"/>
    <xf numFmtId="1" fontId="22" fillId="8" borderId="19" xfId="1" applyNumberFormat="1" applyFont="1" applyFill="1" applyBorder="1"/>
    <xf numFmtId="3" fontId="22" fillId="8" borderId="19" xfId="0" applyNumberFormat="1" applyFont="1" applyFill="1" applyBorder="1" applyAlignment="1">
      <alignment horizontal="right" vertical="center" indent="1"/>
    </xf>
    <xf numFmtId="3" fontId="22" fillId="0" borderId="19" xfId="0" applyNumberFormat="1" applyFont="1" applyFill="1" applyBorder="1" applyAlignment="1">
      <alignment horizontal="right" vertical="center" indent="1"/>
    </xf>
    <xf numFmtId="0" fontId="22" fillId="9" borderId="18" xfId="4" applyFont="1" applyFill="1" applyBorder="1" applyAlignment="1" applyProtection="1">
      <alignment horizontal="center"/>
      <protection locked="0"/>
    </xf>
    <xf numFmtId="3" fontId="22" fillId="10" borderId="19" xfId="0" applyNumberFormat="1" applyFont="1" applyFill="1" applyBorder="1" applyAlignment="1">
      <alignment horizontal="right" vertical="center" indent="1"/>
    </xf>
    <xf numFmtId="3" fontId="22" fillId="10" borderId="19" xfId="1" applyNumberFormat="1" applyFont="1" applyFill="1" applyBorder="1" applyAlignment="1">
      <alignment horizontal="right" vertical="center" wrapText="1" indent="1"/>
    </xf>
    <xf numFmtId="3" fontId="23" fillId="0" borderId="19" xfId="1" applyNumberFormat="1" applyFont="1" applyFill="1" applyBorder="1" applyAlignment="1">
      <alignment horizontal="right" vertical="center" wrapText="1" indent="1"/>
    </xf>
    <xf numFmtId="9" fontId="20" fillId="7" borderId="24" xfId="4" applyNumberFormat="1" applyFont="1" applyFill="1" applyBorder="1" applyAlignment="1" applyProtection="1">
      <alignment vertical="center"/>
      <protection locked="0"/>
    </xf>
    <xf numFmtId="0" fontId="28" fillId="0" borderId="19" xfId="1" applyFont="1" applyFill="1" applyBorder="1" applyAlignment="1">
      <alignment horizontal="center"/>
    </xf>
    <xf numFmtId="3" fontId="23" fillId="3" borderId="19" xfId="0" applyNumberFormat="1" applyFont="1" applyFill="1" applyBorder="1" applyAlignment="1" applyProtection="1">
      <alignment horizontal="right" vertical="center" indent="1"/>
      <protection locked="0"/>
    </xf>
    <xf numFmtId="3" fontId="22" fillId="3" borderId="19" xfId="0" applyNumberFormat="1" applyFont="1" applyFill="1" applyBorder="1" applyAlignment="1" applyProtection="1">
      <alignment horizontal="right" vertical="center" indent="1"/>
      <protection locked="0"/>
    </xf>
    <xf numFmtId="0" fontId="23" fillId="0" borderId="19" xfId="0" applyFont="1" applyBorder="1"/>
    <xf numFmtId="0" fontId="23" fillId="0" borderId="20" xfId="0" applyFont="1" applyBorder="1"/>
    <xf numFmtId="0" fontId="16" fillId="14" borderId="40" xfId="4" applyFont="1" applyFill="1" applyBorder="1" applyAlignment="1">
      <alignment horizontal="left"/>
    </xf>
    <xf numFmtId="0" fontId="16" fillId="14" borderId="41" xfId="4" applyFont="1" applyFill="1" applyBorder="1" applyAlignment="1" applyProtection="1">
      <alignment horizontal="center"/>
      <protection locked="0"/>
    </xf>
    <xf numFmtId="0" fontId="1" fillId="15" borderId="42" xfId="3" applyFont="1" applyFill="1" applyBorder="1" applyAlignment="1" applyProtection="1">
      <alignment horizontal="center"/>
      <protection locked="0"/>
    </xf>
    <xf numFmtId="0" fontId="6" fillId="9" borderId="18" xfId="1" applyFont="1" applyFill="1" applyBorder="1" applyAlignment="1">
      <alignment vertical="center"/>
    </xf>
    <xf numFmtId="0" fontId="18" fillId="15" borderId="24" xfId="3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Alignment="1">
      <alignment vertical="center"/>
    </xf>
    <xf numFmtId="0" fontId="18" fillId="0" borderId="24" xfId="3" applyFont="1" applyFill="1" applyBorder="1" applyAlignment="1" applyProtection="1">
      <alignment horizontal="center"/>
      <protection locked="0"/>
    </xf>
    <xf numFmtId="0" fontId="7" fillId="6" borderId="24" xfId="1" applyFont="1" applyFill="1" applyBorder="1" applyAlignment="1">
      <alignment horizontal="right" vertical="center" wrapText="1"/>
    </xf>
    <xf numFmtId="0" fontId="7" fillId="0" borderId="24" xfId="1" applyFont="1" applyFill="1" applyBorder="1" applyAlignment="1">
      <alignment horizontal="right" vertical="center" wrapText="1"/>
    </xf>
    <xf numFmtId="9" fontId="28" fillId="2" borderId="24" xfId="6" applyFont="1" applyFill="1" applyBorder="1" applyAlignment="1" applyProtection="1">
      <alignment horizontal="right" vertical="center"/>
    </xf>
    <xf numFmtId="9" fontId="28" fillId="2" borderId="24" xfId="6" applyFont="1" applyFill="1" applyBorder="1" applyAlignment="1" applyProtection="1">
      <alignment horizontal="right"/>
    </xf>
    <xf numFmtId="9" fontId="31" fillId="2" borderId="24" xfId="6" applyFont="1" applyFill="1" applyBorder="1" applyAlignment="1" applyProtection="1">
      <alignment horizontal="right"/>
    </xf>
    <xf numFmtId="0" fontId="14" fillId="0" borderId="18" xfId="1" applyFont="1" applyFill="1" applyBorder="1" applyAlignment="1">
      <alignment horizontal="left" vertical="center" indent="1"/>
    </xf>
    <xf numFmtId="9" fontId="28" fillId="9" borderId="24" xfId="6" applyFont="1" applyFill="1" applyBorder="1" applyAlignment="1" applyProtection="1">
      <alignment horizontal="right"/>
    </xf>
    <xf numFmtId="9" fontId="28" fillId="6" borderId="24" xfId="6" applyFont="1" applyFill="1" applyBorder="1" applyAlignment="1" applyProtection="1">
      <alignment horizontal="right"/>
    </xf>
    <xf numFmtId="9" fontId="28" fillId="0" borderId="24" xfId="6" applyFont="1" applyFill="1" applyBorder="1" applyAlignment="1" applyProtection="1">
      <alignment horizontal="right"/>
    </xf>
    <xf numFmtId="10" fontId="28" fillId="0" borderId="21" xfId="1" applyNumberFormat="1" applyFont="1" applyFill="1" applyBorder="1" applyAlignment="1">
      <alignment horizontal="right" vertical="center" wrapText="1" indent="1"/>
    </xf>
    <xf numFmtId="0" fontId="16" fillId="14" borderId="43" xfId="4" applyFont="1" applyFill="1" applyBorder="1" applyAlignment="1" applyProtection="1">
      <alignment horizontal="center"/>
      <protection locked="0"/>
    </xf>
    <xf numFmtId="0" fontId="10" fillId="9" borderId="20" xfId="1" applyFont="1" applyFill="1" applyBorder="1" applyAlignment="1">
      <alignment horizontal="center" vertical="center" wrapText="1"/>
    </xf>
    <xf numFmtId="0" fontId="10" fillId="0" borderId="20" xfId="1" applyFont="1" applyFill="1" applyBorder="1" applyAlignment="1">
      <alignment horizontal="center" vertical="center" wrapText="1"/>
    </xf>
    <xf numFmtId="0" fontId="7" fillId="6" borderId="20" xfId="1" applyFont="1" applyFill="1" applyBorder="1" applyAlignment="1">
      <alignment horizontal="right" vertical="center" wrapText="1" indent="1"/>
    </xf>
    <xf numFmtId="0" fontId="7" fillId="0" borderId="20" xfId="1" applyFont="1" applyFill="1" applyBorder="1" applyAlignment="1">
      <alignment horizontal="right" vertical="center" wrapText="1" indent="1"/>
    </xf>
    <xf numFmtId="3" fontId="22" fillId="3" borderId="20" xfId="0" applyNumberFormat="1" applyFont="1" applyFill="1" applyBorder="1" applyAlignment="1">
      <alignment horizontal="right" vertical="center" indent="1"/>
    </xf>
    <xf numFmtId="2" fontId="22" fillId="3" borderId="20" xfId="0" applyNumberFormat="1" applyFont="1" applyFill="1" applyBorder="1" applyAlignment="1">
      <alignment horizontal="right" vertical="center" indent="1"/>
    </xf>
    <xf numFmtId="1" fontId="30" fillId="3" borderId="20" xfId="1" applyNumberFormat="1" applyFont="1" applyFill="1" applyBorder="1" applyAlignment="1">
      <alignment horizontal="right" vertical="center" indent="1"/>
    </xf>
    <xf numFmtId="0" fontId="23" fillId="3" borderId="20" xfId="1" applyFont="1" applyFill="1" applyBorder="1" applyAlignment="1">
      <alignment horizontal="right" vertical="center" indent="1"/>
    </xf>
    <xf numFmtId="3" fontId="23" fillId="3" borderId="20" xfId="1" applyNumberFormat="1" applyFont="1" applyFill="1" applyBorder="1" applyAlignment="1">
      <alignment horizontal="right" vertical="center" indent="1"/>
    </xf>
    <xf numFmtId="9" fontId="23" fillId="3" borderId="20" xfId="1" applyNumberFormat="1" applyFont="1" applyFill="1" applyBorder="1" applyAlignment="1">
      <alignment horizontal="right" vertical="center" indent="1"/>
    </xf>
    <xf numFmtId="0" fontId="22" fillId="3" borderId="20" xfId="1" applyFont="1" applyFill="1" applyBorder="1" applyAlignment="1">
      <alignment horizontal="right" vertical="center" indent="1"/>
    </xf>
    <xf numFmtId="9" fontId="23" fillId="3" borderId="20" xfId="1" applyNumberFormat="1" applyFont="1" applyFill="1" applyBorder="1" applyAlignment="1">
      <alignment horizontal="right" vertical="center" wrapText="1" indent="1"/>
    </xf>
    <xf numFmtId="1" fontId="22" fillId="10" borderId="20" xfId="1" applyNumberFormat="1" applyFont="1" applyFill="1" applyBorder="1" applyAlignment="1">
      <alignment horizontal="right" vertical="center" indent="1"/>
    </xf>
    <xf numFmtId="1" fontId="20" fillId="7" borderId="20" xfId="4" applyNumberFormat="1" applyFont="1" applyFill="1" applyBorder="1" applyAlignment="1" applyProtection="1">
      <alignment vertical="center"/>
      <protection locked="0"/>
    </xf>
    <xf numFmtId="1" fontId="22" fillId="3" borderId="20" xfId="1" applyNumberFormat="1" applyFont="1" applyFill="1" applyBorder="1"/>
    <xf numFmtId="1" fontId="22" fillId="8" borderId="20" xfId="1" applyNumberFormat="1" applyFont="1" applyFill="1" applyBorder="1"/>
    <xf numFmtId="1" fontId="22" fillId="0" borderId="20" xfId="1" applyNumberFormat="1" applyFont="1" applyFill="1" applyBorder="1"/>
    <xf numFmtId="3" fontId="22" fillId="10" borderId="20" xfId="0" applyNumberFormat="1" applyFont="1" applyFill="1" applyBorder="1" applyAlignment="1">
      <alignment horizontal="right" vertical="center" indent="1"/>
    </xf>
    <xf numFmtId="3" fontId="23" fillId="3" borderId="20" xfId="1" applyNumberFormat="1" applyFont="1" applyFill="1" applyBorder="1" applyAlignment="1">
      <alignment horizontal="right" vertical="center" wrapText="1" indent="1"/>
    </xf>
    <xf numFmtId="10" fontId="28" fillId="0" borderId="44" xfId="1" applyNumberFormat="1" applyFont="1" applyFill="1" applyBorder="1" applyAlignment="1">
      <alignment horizontal="right" vertical="center" wrapText="1" indent="1"/>
    </xf>
    <xf numFmtId="0" fontId="16" fillId="14" borderId="40" xfId="4" applyFont="1" applyFill="1" applyBorder="1" applyAlignment="1" applyProtection="1">
      <alignment horizontal="center"/>
      <protection locked="0"/>
    </xf>
    <xf numFmtId="0" fontId="21" fillId="0" borderId="18" xfId="4" applyFont="1" applyFill="1" applyBorder="1" applyAlignment="1" applyProtection="1">
      <alignment horizontal="right" vertical="center"/>
      <protection locked="0"/>
    </xf>
    <xf numFmtId="3" fontId="22" fillId="3" borderId="18" xfId="0" applyNumberFormat="1" applyFont="1" applyFill="1" applyBorder="1" applyAlignment="1">
      <alignment vertical="center"/>
    </xf>
    <xf numFmtId="2" fontId="22" fillId="3" borderId="18" xfId="0" applyNumberFormat="1" applyFont="1" applyFill="1" applyBorder="1" applyAlignment="1">
      <alignment vertical="center"/>
    </xf>
    <xf numFmtId="3" fontId="22" fillId="3" borderId="18" xfId="0" applyNumberFormat="1" applyFont="1" applyFill="1" applyBorder="1" applyAlignment="1">
      <alignment horizontal="right" vertical="center" indent="1"/>
    </xf>
    <xf numFmtId="0" fontId="23" fillId="3" borderId="18" xfId="1" applyFont="1" applyFill="1" applyBorder="1" applyAlignment="1">
      <alignment vertical="center"/>
    </xf>
    <xf numFmtId="3" fontId="23" fillId="3" borderId="18" xfId="1" applyNumberFormat="1" applyFont="1" applyFill="1" applyBorder="1" applyAlignment="1">
      <alignment vertical="center"/>
    </xf>
    <xf numFmtId="0" fontId="22" fillId="3" borderId="18" xfId="1" applyFont="1" applyFill="1" applyBorder="1" applyAlignment="1">
      <alignment vertical="center"/>
    </xf>
    <xf numFmtId="3" fontId="22" fillId="3" borderId="18" xfId="1" applyNumberFormat="1" applyFont="1" applyFill="1" applyBorder="1" applyAlignment="1">
      <alignment vertical="center"/>
    </xf>
    <xf numFmtId="1" fontId="22" fillId="10" borderId="18" xfId="1" applyNumberFormat="1" applyFont="1" applyFill="1" applyBorder="1" applyAlignment="1">
      <alignment horizontal="right" vertical="center" indent="1"/>
    </xf>
    <xf numFmtId="1" fontId="20" fillId="7" borderId="18" xfId="4" applyNumberFormat="1" applyFont="1" applyFill="1" applyBorder="1" applyAlignment="1" applyProtection="1">
      <alignment horizontal="right" vertical="center"/>
      <protection locked="0"/>
    </xf>
    <xf numFmtId="1" fontId="22" fillId="3" borderId="18" xfId="1" applyNumberFormat="1" applyFont="1" applyFill="1" applyBorder="1" applyAlignment="1">
      <alignment horizontal="right"/>
    </xf>
    <xf numFmtId="1" fontId="22" fillId="8" borderId="18" xfId="1" applyNumberFormat="1" applyFont="1" applyFill="1" applyBorder="1" applyAlignment="1">
      <alignment horizontal="right"/>
    </xf>
    <xf numFmtId="1" fontId="22" fillId="0" borderId="18" xfId="1" applyNumberFormat="1" applyFont="1" applyFill="1" applyBorder="1" applyAlignment="1">
      <alignment horizontal="right"/>
    </xf>
    <xf numFmtId="3" fontId="22" fillId="10" borderId="18" xfId="0" applyNumberFormat="1" applyFont="1" applyFill="1" applyBorder="1" applyAlignment="1">
      <alignment vertical="center"/>
    </xf>
    <xf numFmtId="1" fontId="20" fillId="7" borderId="18" xfId="4" applyNumberFormat="1" applyFont="1" applyFill="1" applyBorder="1" applyAlignment="1" applyProtection="1">
      <alignment vertical="center"/>
      <protection locked="0"/>
    </xf>
    <xf numFmtId="3" fontId="23" fillId="3" borderId="18" xfId="0" applyNumberFormat="1" applyFont="1" applyFill="1" applyBorder="1" applyAlignment="1" applyProtection="1">
      <alignment vertical="center"/>
      <protection locked="0"/>
    </xf>
    <xf numFmtId="0" fontId="0" fillId="2" borderId="19" xfId="0" applyFill="1" applyBorder="1"/>
    <xf numFmtId="0" fontId="4" fillId="2" borderId="19" xfId="1" applyFont="1" applyFill="1" applyBorder="1" applyAlignment="1">
      <alignment horizontal="left"/>
    </xf>
    <xf numFmtId="0" fontId="7" fillId="6" borderId="19" xfId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vertical="center"/>
    </xf>
    <xf numFmtId="0" fontId="21" fillId="0" borderId="19" xfId="4" applyFont="1" applyFill="1" applyBorder="1" applyAlignment="1" applyProtection="1">
      <alignment vertical="center"/>
      <protection locked="0"/>
    </xf>
    <xf numFmtId="3" fontId="22" fillId="11" borderId="19" xfId="0" applyNumberFormat="1" applyFont="1" applyFill="1" applyBorder="1" applyAlignment="1">
      <alignment vertical="center"/>
    </xf>
    <xf numFmtId="2" fontId="22" fillId="11" borderId="19" xfId="0" applyNumberFormat="1" applyFont="1" applyFill="1" applyBorder="1" applyAlignment="1">
      <alignment vertical="center"/>
    </xf>
    <xf numFmtId="1" fontId="10" fillId="3" borderId="19" xfId="1" applyNumberFormat="1" applyFont="1" applyFill="1" applyBorder="1" applyAlignment="1">
      <alignment vertical="center"/>
    </xf>
    <xf numFmtId="1" fontId="10" fillId="11" borderId="19" xfId="1" applyNumberFormat="1" applyFont="1" applyFill="1" applyBorder="1" applyAlignment="1">
      <alignment vertical="center"/>
    </xf>
    <xf numFmtId="1" fontId="23" fillId="2" borderId="24" xfId="1" applyNumberFormat="1" applyFont="1" applyFill="1" applyBorder="1" applyAlignment="1">
      <alignment vertical="center"/>
    </xf>
    <xf numFmtId="1" fontId="22" fillId="10" borderId="19" xfId="1" applyNumberFormat="1" applyFont="1" applyFill="1" applyBorder="1" applyAlignment="1">
      <alignment vertical="center"/>
    </xf>
    <xf numFmtId="0" fontId="9" fillId="0" borderId="19" xfId="1" applyFont="1" applyFill="1" applyBorder="1" applyAlignment="1">
      <alignment vertical="center"/>
    </xf>
    <xf numFmtId="0" fontId="9" fillId="13" borderId="19" xfId="1" applyFont="1" applyFill="1" applyBorder="1" applyAlignment="1">
      <alignment vertical="center"/>
    </xf>
    <xf numFmtId="1" fontId="9" fillId="6" borderId="19" xfId="1" applyNumberFormat="1" applyFont="1" applyFill="1" applyBorder="1" applyAlignment="1">
      <alignment vertical="center"/>
    </xf>
    <xf numFmtId="1" fontId="9" fillId="0" borderId="19" xfId="1" applyNumberFormat="1" applyFont="1" applyFill="1" applyBorder="1" applyAlignment="1">
      <alignment vertical="center"/>
    </xf>
    <xf numFmtId="1" fontId="22" fillId="9" borderId="18" xfId="4" applyNumberFormat="1" applyFont="1" applyFill="1" applyBorder="1" applyAlignment="1" applyProtection="1">
      <alignment vertical="center"/>
      <protection locked="0"/>
    </xf>
    <xf numFmtId="1" fontId="22" fillId="9" borderId="19" xfId="4" applyNumberFormat="1" applyFont="1" applyFill="1" applyBorder="1" applyAlignment="1" applyProtection="1">
      <alignment vertical="center"/>
      <protection locked="0"/>
    </xf>
    <xf numFmtId="3" fontId="23" fillId="11" borderId="19" xfId="1" applyNumberFormat="1" applyFont="1" applyFill="1" applyBorder="1" applyAlignment="1">
      <alignment vertical="center"/>
    </xf>
    <xf numFmtId="1" fontId="23" fillId="11" borderId="19" xfId="1" applyNumberFormat="1" applyFont="1" applyFill="1" applyBorder="1" applyAlignment="1">
      <alignment vertical="center"/>
    </xf>
    <xf numFmtId="1" fontId="7" fillId="3" borderId="19" xfId="0" applyNumberFormat="1" applyFont="1" applyFill="1" applyBorder="1" applyAlignment="1">
      <alignment vertical="center"/>
    </xf>
    <xf numFmtId="1" fontId="7" fillId="11" borderId="19" xfId="0" applyNumberFormat="1" applyFont="1" applyFill="1" applyBorder="1" applyAlignment="1">
      <alignment vertical="center"/>
    </xf>
    <xf numFmtId="0" fontId="7" fillId="6" borderId="0" xfId="1" applyFont="1" applyFill="1" applyBorder="1" applyAlignment="1">
      <alignment horizontal="right" vertical="center" wrapText="1" indent="1"/>
    </xf>
    <xf numFmtId="0" fontId="7" fillId="0" borderId="0" xfId="1" applyFont="1" applyFill="1" applyBorder="1" applyAlignment="1">
      <alignment vertical="center"/>
    </xf>
    <xf numFmtId="3" fontId="22" fillId="3" borderId="0" xfId="0" applyNumberFormat="1" applyFont="1" applyFill="1" applyBorder="1" applyAlignment="1">
      <alignment vertical="center"/>
    </xf>
    <xf numFmtId="2" fontId="22" fillId="3" borderId="45" xfId="0" applyNumberFormat="1" applyFont="1" applyFill="1" applyBorder="1" applyAlignment="1">
      <alignment vertical="center"/>
    </xf>
    <xf numFmtId="1" fontId="10" fillId="3" borderId="0" xfId="1" applyNumberFormat="1" applyFont="1" applyFill="1" applyBorder="1" applyAlignment="1">
      <alignment vertical="center"/>
    </xf>
    <xf numFmtId="9" fontId="23" fillId="3" borderId="16" xfId="1" applyNumberFormat="1" applyFont="1" applyFill="1" applyBorder="1" applyAlignment="1">
      <alignment vertical="center"/>
    </xf>
    <xf numFmtId="1" fontId="22" fillId="10" borderId="0" xfId="1" applyNumberFormat="1" applyFont="1" applyFill="1" applyBorder="1" applyAlignment="1">
      <alignment vertical="center"/>
    </xf>
    <xf numFmtId="1" fontId="20" fillId="7" borderId="46" xfId="4" applyNumberFormat="1" applyFont="1" applyFill="1" applyBorder="1" applyAlignment="1" applyProtection="1">
      <alignment vertical="center"/>
      <protection locked="0"/>
    </xf>
    <xf numFmtId="1" fontId="7" fillId="8" borderId="0" xfId="1" applyNumberFormat="1" applyFont="1" applyFill="1" applyBorder="1" applyAlignment="1">
      <alignment vertical="center"/>
    </xf>
    <xf numFmtId="1" fontId="7" fillId="0" borderId="0" xfId="1" applyNumberFormat="1" applyFont="1" applyFill="1" applyBorder="1" applyAlignment="1">
      <alignment vertical="center"/>
    </xf>
    <xf numFmtId="1" fontId="22" fillId="9" borderId="34" xfId="4" applyNumberFormat="1" applyFont="1" applyFill="1" applyBorder="1" applyAlignment="1" applyProtection="1">
      <alignment vertical="center"/>
      <protection locked="0"/>
    </xf>
    <xf numFmtId="3" fontId="23" fillId="3" borderId="0" xfId="1" applyNumberFormat="1" applyFont="1" applyFill="1" applyBorder="1" applyAlignment="1">
      <alignment vertical="center"/>
    </xf>
    <xf numFmtId="1" fontId="22" fillId="10" borderId="45" xfId="1" applyNumberFormat="1" applyFont="1" applyFill="1" applyBorder="1" applyAlignment="1">
      <alignment vertical="center"/>
    </xf>
    <xf numFmtId="1" fontId="23" fillId="3" borderId="0" xfId="1" applyNumberFormat="1" applyFont="1" applyFill="1" applyBorder="1" applyAlignment="1">
      <alignment vertical="center"/>
    </xf>
    <xf numFmtId="1" fontId="20" fillId="7" borderId="16" xfId="4" applyNumberFormat="1" applyFont="1" applyFill="1" applyBorder="1" applyAlignment="1" applyProtection="1">
      <alignment vertical="center"/>
      <protection locked="0"/>
    </xf>
    <xf numFmtId="1" fontId="20" fillId="7" borderId="47" xfId="4" applyNumberFormat="1" applyFont="1" applyFill="1" applyBorder="1" applyAlignment="1" applyProtection="1">
      <alignment vertical="center"/>
      <protection locked="0"/>
    </xf>
    <xf numFmtId="3" fontId="23" fillId="3" borderId="48" xfId="1" applyNumberFormat="1" applyFont="1" applyFill="1" applyBorder="1" applyAlignment="1">
      <alignment vertical="center"/>
    </xf>
    <xf numFmtId="0" fontId="0" fillId="9" borderId="18" xfId="0" applyFill="1" applyBorder="1"/>
    <xf numFmtId="0" fontId="0" fillId="2" borderId="18" xfId="0" applyFill="1" applyBorder="1"/>
    <xf numFmtId="0" fontId="4" fillId="2" borderId="18" xfId="1" applyFont="1" applyFill="1" applyBorder="1" applyAlignment="1">
      <alignment horizontal="left"/>
    </xf>
    <xf numFmtId="0" fontId="21" fillId="0" borderId="18" xfId="4" applyFont="1" applyFill="1" applyBorder="1" applyAlignment="1" applyProtection="1">
      <alignment vertical="center"/>
      <protection locked="0"/>
    </xf>
    <xf numFmtId="1" fontId="10" fillId="3" borderId="18" xfId="1" applyNumberFormat="1" applyFont="1" applyFill="1" applyBorder="1" applyAlignment="1">
      <alignment vertical="center"/>
    </xf>
    <xf numFmtId="1" fontId="22" fillId="10" borderId="18" xfId="1" applyNumberFormat="1" applyFont="1" applyFill="1" applyBorder="1" applyAlignment="1">
      <alignment vertical="center"/>
    </xf>
    <xf numFmtId="0" fontId="9" fillId="0" borderId="18" xfId="1" applyFont="1" applyFill="1" applyBorder="1" applyAlignment="1">
      <alignment vertical="center"/>
    </xf>
    <xf numFmtId="1" fontId="9" fillId="6" borderId="18" xfId="1" applyNumberFormat="1" applyFont="1" applyFill="1" applyBorder="1" applyAlignment="1">
      <alignment vertical="center"/>
    </xf>
    <xf numFmtId="1" fontId="9" fillId="0" borderId="18" xfId="1" applyNumberFormat="1" applyFont="1" applyFill="1" applyBorder="1" applyAlignment="1">
      <alignment vertical="center"/>
    </xf>
    <xf numFmtId="1" fontId="7" fillId="3" borderId="18" xfId="0" applyNumberFormat="1" applyFont="1" applyFill="1" applyBorder="1" applyAlignment="1">
      <alignment vertical="center"/>
    </xf>
    <xf numFmtId="0" fontId="0" fillId="2" borderId="24" xfId="0" applyFill="1" applyBorder="1"/>
    <xf numFmtId="0" fontId="5" fillId="2" borderId="24" xfId="1" applyFont="1" applyFill="1" applyBorder="1" applyAlignment="1">
      <alignment horizontal="center"/>
    </xf>
    <xf numFmtId="0" fontId="29" fillId="2" borderId="24" xfId="1" applyFont="1" applyFill="1" applyBorder="1" applyAlignment="1">
      <alignment vertical="center"/>
    </xf>
    <xf numFmtId="9" fontId="28" fillId="2" borderId="24" xfId="6" applyFont="1" applyFill="1" applyBorder="1" applyAlignment="1" applyProtection="1">
      <alignment vertical="center"/>
    </xf>
    <xf numFmtId="9" fontId="9" fillId="2" borderId="24" xfId="6" applyFont="1" applyFill="1" applyBorder="1" applyAlignment="1" applyProtection="1">
      <alignment vertical="center"/>
    </xf>
    <xf numFmtId="9" fontId="28" fillId="9" borderId="24" xfId="6" applyFont="1" applyFill="1" applyBorder="1" applyAlignment="1" applyProtection="1">
      <alignment vertical="center"/>
    </xf>
    <xf numFmtId="9" fontId="9" fillId="6" borderId="24" xfId="6" applyFont="1" applyFill="1" applyBorder="1" applyAlignment="1" applyProtection="1">
      <alignment vertical="center"/>
    </xf>
    <xf numFmtId="9" fontId="9" fillId="0" borderId="24" xfId="6" applyFont="1" applyFill="1" applyBorder="1" applyAlignment="1" applyProtection="1">
      <alignment vertical="center"/>
    </xf>
    <xf numFmtId="1" fontId="22" fillId="10" borderId="24" xfId="1" applyNumberFormat="1" applyFont="1" applyFill="1" applyBorder="1" applyAlignment="1">
      <alignment vertical="center"/>
    </xf>
    <xf numFmtId="3" fontId="23" fillId="3" borderId="24" xfId="1" applyNumberFormat="1" applyFont="1" applyFill="1" applyBorder="1" applyAlignment="1">
      <alignment vertical="center"/>
    </xf>
    <xf numFmtId="0" fontId="0" fillId="0" borderId="49" xfId="0" applyBorder="1"/>
    <xf numFmtId="0" fontId="16" fillId="14" borderId="34" xfId="4" applyFont="1" applyFill="1" applyBorder="1" applyAlignment="1">
      <alignment horizontal="left"/>
    </xf>
    <xf numFmtId="0" fontId="16" fillId="14" borderId="35" xfId="4" applyFont="1" applyFill="1" applyBorder="1" applyAlignment="1" applyProtection="1">
      <alignment horizontal="center"/>
      <protection locked="0"/>
    </xf>
    <xf numFmtId="0" fontId="16" fillId="14" borderId="35" xfId="4" applyFont="1" applyFill="1" applyBorder="1" applyAlignment="1" applyProtection="1">
      <protection locked="0"/>
    </xf>
    <xf numFmtId="0" fontId="16" fillId="14" borderId="36" xfId="4" applyFont="1" applyFill="1" applyBorder="1" applyAlignment="1" applyProtection="1">
      <alignment horizontal="center"/>
      <protection locked="0"/>
    </xf>
    <xf numFmtId="0" fontId="16" fillId="14" borderId="41" xfId="4" applyFont="1" applyFill="1" applyBorder="1" applyAlignment="1" applyProtection="1">
      <protection locked="0"/>
    </xf>
    <xf numFmtId="0" fontId="0" fillId="9" borderId="16" xfId="0" applyFill="1" applyBorder="1" applyAlignment="1"/>
    <xf numFmtId="0" fontId="0" fillId="9" borderId="0" xfId="0" applyFill="1" applyBorder="1"/>
    <xf numFmtId="0" fontId="0" fillId="2" borderId="16" xfId="0" applyFill="1" applyBorder="1"/>
    <xf numFmtId="0" fontId="0" fillId="2" borderId="0" xfId="0" applyFill="1" applyBorder="1"/>
    <xf numFmtId="0" fontId="4" fillId="2" borderId="16" xfId="1" applyFont="1" applyFill="1" applyBorder="1" applyAlignment="1">
      <alignment horizontal="left"/>
    </xf>
    <xf numFmtId="0" fontId="20" fillId="6" borderId="50" xfId="3" applyFont="1" applyFill="1" applyBorder="1" applyAlignment="1">
      <alignment horizontal="center"/>
    </xf>
    <xf numFmtId="0" fontId="20" fillId="0" borderId="51" xfId="3" applyFont="1" applyFill="1" applyBorder="1" applyAlignment="1">
      <alignment horizontal="center"/>
    </xf>
    <xf numFmtId="0" fontId="22" fillId="2" borderId="51" xfId="2" applyFont="1" applyFill="1" applyBorder="1" applyAlignment="1" applyProtection="1">
      <alignment horizontal="left"/>
      <protection locked="0"/>
    </xf>
    <xf numFmtId="0" fontId="9" fillId="0" borderId="51" xfId="1" applyFont="1" applyFill="1" applyBorder="1" applyAlignment="1">
      <alignment horizontal="left" vertical="center" wrapText="1" indent="1"/>
    </xf>
    <xf numFmtId="0" fontId="23" fillId="2" borderId="51" xfId="4" applyFont="1" applyFill="1" applyBorder="1" applyProtection="1">
      <protection locked="0"/>
    </xf>
    <xf numFmtId="0" fontId="24" fillId="2" borderId="51" xfId="2" applyFont="1" applyFill="1" applyBorder="1" applyProtection="1">
      <protection locked="0"/>
    </xf>
    <xf numFmtId="0" fontId="14" fillId="0" borderId="51" xfId="1" applyFont="1" applyFill="1" applyBorder="1" applyAlignment="1">
      <alignment horizontal="left" vertical="center" indent="1"/>
    </xf>
    <xf numFmtId="0" fontId="24" fillId="2" borderId="51" xfId="2" applyFont="1" applyFill="1" applyBorder="1" applyAlignment="1" applyProtection="1">
      <alignment horizontal="left"/>
      <protection locked="0"/>
    </xf>
    <xf numFmtId="0" fontId="22" fillId="9" borderId="51" xfId="4" applyFont="1" applyFill="1" applyBorder="1" applyAlignment="1" applyProtection="1">
      <alignment horizontal="center"/>
      <protection locked="0"/>
    </xf>
    <xf numFmtId="0" fontId="22" fillId="0" borderId="51" xfId="4" applyFont="1" applyFill="1" applyBorder="1" applyAlignment="1">
      <alignment horizontal="left"/>
    </xf>
    <xf numFmtId="0" fontId="22" fillId="0" borderId="51" xfId="4" applyFont="1" applyFill="1" applyBorder="1" applyAlignment="1" applyProtection="1">
      <alignment horizontal="left"/>
      <protection locked="0"/>
    </xf>
    <xf numFmtId="0" fontId="24" fillId="0" borderId="51" xfId="2" applyFont="1" applyFill="1" applyBorder="1" applyAlignment="1" applyProtection="1">
      <alignment horizontal="left"/>
      <protection locked="0"/>
    </xf>
    <xf numFmtId="0" fontId="25" fillId="0" borderId="51" xfId="1" applyFont="1" applyFill="1" applyBorder="1" applyAlignment="1">
      <alignment vertical="center" wrapText="1"/>
    </xf>
    <xf numFmtId="0" fontId="25" fillId="0" borderId="51" xfId="1" applyFont="1" applyFill="1" applyBorder="1" applyAlignment="1">
      <alignment horizontal="left" vertical="center" wrapText="1" indent="1"/>
    </xf>
    <xf numFmtId="0" fontId="9" fillId="0" borderId="15" xfId="1" applyFont="1" applyFill="1" applyBorder="1"/>
    <xf numFmtId="0" fontId="20" fillId="6" borderId="52" xfId="3" applyFont="1" applyFill="1" applyBorder="1" applyAlignment="1">
      <alignment horizontal="center"/>
    </xf>
    <xf numFmtId="0" fontId="20" fillId="0" borderId="16" xfId="3" applyFont="1" applyFill="1" applyBorder="1" applyAlignment="1">
      <alignment horizontal="center"/>
    </xf>
    <xf numFmtId="0" fontId="23" fillId="0" borderId="14" xfId="4" applyFont="1" applyBorder="1" applyProtection="1">
      <protection locked="0"/>
    </xf>
    <xf numFmtId="3" fontId="23" fillId="3" borderId="53" xfId="1" applyNumberFormat="1" applyFont="1" applyFill="1" applyBorder="1" applyAlignment="1">
      <alignment vertical="center"/>
    </xf>
    <xf numFmtId="3" fontId="23" fillId="3" borderId="54" xfId="1" applyNumberFormat="1" applyFont="1" applyFill="1" applyBorder="1" applyAlignment="1">
      <alignment vertical="center"/>
    </xf>
    <xf numFmtId="3" fontId="23" fillId="3" borderId="22" xfId="1" applyNumberFormat="1" applyFont="1" applyFill="1" applyBorder="1" applyAlignment="1">
      <alignment vertical="center"/>
    </xf>
    <xf numFmtId="0" fontId="22" fillId="2" borderId="18" xfId="4" applyFont="1" applyFill="1" applyBorder="1" applyAlignment="1">
      <alignment horizontal="left"/>
    </xf>
    <xf numFmtId="0" fontId="22" fillId="2" borderId="18" xfId="4" applyFont="1" applyFill="1" applyBorder="1" applyAlignment="1" applyProtection="1">
      <alignment horizontal="left"/>
      <protection locked="0"/>
    </xf>
    <xf numFmtId="0" fontId="25" fillId="2" borderId="18" xfId="1" applyFont="1" applyFill="1" applyBorder="1" applyAlignment="1">
      <alignment vertical="center" wrapText="1"/>
    </xf>
    <xf numFmtId="0" fontId="23" fillId="2" borderId="18" xfId="0" applyFont="1" applyFill="1" applyBorder="1" applyAlignment="1">
      <alignment vertical="center"/>
    </xf>
    <xf numFmtId="0" fontId="23" fillId="2" borderId="19" xfId="0" applyFont="1" applyFill="1" applyBorder="1"/>
    <xf numFmtId="0" fontId="23" fillId="2" borderId="22" xfId="0" applyFont="1" applyFill="1" applyBorder="1"/>
    <xf numFmtId="0" fontId="1" fillId="15" borderId="42" xfId="3" applyFont="1" applyFill="1" applyBorder="1" applyAlignment="1" applyProtection="1">
      <alignment horizontal="center" wrapText="1"/>
      <protection locked="0"/>
    </xf>
    <xf numFmtId="0" fontId="27" fillId="9" borderId="24" xfId="3" applyFont="1" applyFill="1" applyBorder="1" applyAlignment="1" applyProtection="1">
      <alignment horizontal="center"/>
      <protection locked="0"/>
    </xf>
    <xf numFmtId="0" fontId="16" fillId="9" borderId="18" xfId="4" applyFont="1" applyFill="1" applyBorder="1" applyAlignment="1" applyProtection="1">
      <alignment horizontal="center"/>
      <protection locked="0"/>
    </xf>
    <xf numFmtId="0" fontId="5" fillId="9" borderId="18" xfId="4" applyFont="1" applyFill="1" applyBorder="1" applyAlignment="1" applyProtection="1">
      <alignment horizontal="center"/>
      <protection locked="0"/>
    </xf>
    <xf numFmtId="0" fontId="22" fillId="2" borderId="16" xfId="2" applyFont="1" applyFill="1" applyBorder="1" applyAlignment="1" applyProtection="1">
      <alignment horizontal="left"/>
      <protection locked="0"/>
    </xf>
    <xf numFmtId="0" fontId="24" fillId="2" borderId="16" xfId="2" applyFont="1" applyFill="1" applyBorder="1" applyAlignment="1" applyProtection="1">
      <alignment horizontal="left"/>
      <protection locked="0"/>
    </xf>
    <xf numFmtId="0" fontId="6" fillId="9" borderId="16" xfId="1" applyFont="1" applyFill="1" applyBorder="1" applyAlignment="1">
      <alignment vertical="center"/>
    </xf>
    <xf numFmtId="0" fontId="20" fillId="6" borderId="16" xfId="3" applyFont="1" applyFill="1" applyBorder="1" applyAlignment="1">
      <alignment horizontal="center"/>
    </xf>
    <xf numFmtId="0" fontId="23" fillId="2" borderId="16" xfId="4" applyFont="1" applyFill="1" applyBorder="1" applyProtection="1">
      <protection locked="0"/>
    </xf>
    <xf numFmtId="0" fontId="24" fillId="2" borderId="16" xfId="2" applyFont="1" applyFill="1" applyBorder="1" applyProtection="1">
      <protection locked="0"/>
    </xf>
    <xf numFmtId="0" fontId="12" fillId="0" borderId="16" xfId="1" applyFont="1" applyFill="1" applyBorder="1" applyAlignment="1">
      <alignment horizontal="right" vertical="center" indent="1"/>
    </xf>
    <xf numFmtId="0" fontId="22" fillId="9" borderId="16" xfId="4" applyFont="1" applyFill="1" applyBorder="1" applyAlignment="1" applyProtection="1">
      <alignment horizontal="center"/>
      <protection locked="0"/>
    </xf>
    <xf numFmtId="0" fontId="22" fillId="2" borderId="16" xfId="4" applyFont="1" applyFill="1" applyBorder="1" applyAlignment="1">
      <alignment horizontal="left"/>
    </xf>
    <xf numFmtId="0" fontId="22" fillId="2" borderId="16" xfId="4" applyFont="1" applyFill="1" applyBorder="1" applyAlignment="1" applyProtection="1">
      <alignment horizontal="left"/>
      <protection locked="0"/>
    </xf>
    <xf numFmtId="0" fontId="25" fillId="0" borderId="16" xfId="1" applyFont="1" applyFill="1" applyBorder="1" applyAlignment="1">
      <alignment vertical="center" wrapText="1"/>
    </xf>
    <xf numFmtId="0" fontId="20" fillId="7" borderId="16" xfId="4" applyFont="1" applyFill="1" applyBorder="1" applyAlignment="1" applyProtection="1">
      <alignment horizontal="left"/>
      <protection locked="0"/>
    </xf>
    <xf numFmtId="0" fontId="9" fillId="0" borderId="16" xfId="1" applyFont="1" applyFill="1" applyBorder="1"/>
    <xf numFmtId="0" fontId="23" fillId="0" borderId="16" xfId="4" applyFont="1" applyBorder="1" applyProtection="1">
      <protection locked="0"/>
    </xf>
    <xf numFmtId="0" fontId="9" fillId="0" borderId="16" xfId="1" applyFont="1" applyFill="1" applyBorder="1" applyAlignment="1">
      <alignment horizontal="center"/>
    </xf>
    <xf numFmtId="0" fontId="16" fillId="9" borderId="19" xfId="4" applyFont="1" applyFill="1" applyBorder="1" applyAlignment="1" applyProtection="1">
      <alignment horizontal="center"/>
      <protection locked="0"/>
    </xf>
    <xf numFmtId="0" fontId="1" fillId="9" borderId="19" xfId="4" applyFont="1" applyFill="1" applyBorder="1" applyAlignment="1" applyProtection="1">
      <alignment horizontal="center"/>
      <protection locked="0"/>
    </xf>
    <xf numFmtId="0" fontId="5" fillId="9" borderId="19" xfId="4" applyFont="1" applyFill="1" applyBorder="1" applyAlignment="1" applyProtection="1">
      <alignment horizontal="center"/>
      <protection locked="0"/>
    </xf>
    <xf numFmtId="0" fontId="0" fillId="2" borderId="20" xfId="0" applyFill="1" applyBorder="1"/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1" fontId="12" fillId="2" borderId="18" xfId="1" applyNumberFormat="1" applyFont="1" applyFill="1" applyBorder="1" applyAlignment="1">
      <alignment horizontal="left" vertical="center" wrapText="1"/>
    </xf>
    <xf numFmtId="10" fontId="7" fillId="3" borderId="19" xfId="1" applyNumberFormat="1" applyFont="1" applyFill="1" applyBorder="1" applyAlignment="1">
      <alignment horizontal="right" vertical="center" indent="1"/>
    </xf>
    <xf numFmtId="1" fontId="20" fillId="7" borderId="19" xfId="4" applyNumberFormat="1" applyFont="1" applyFill="1" applyBorder="1" applyAlignment="1" applyProtection="1">
      <alignment horizontal="right" vertical="center"/>
      <protection locked="0"/>
    </xf>
    <xf numFmtId="1" fontId="9" fillId="0" borderId="18" xfId="1" applyNumberFormat="1" applyFont="1" applyFill="1" applyBorder="1"/>
    <xf numFmtId="0" fontId="9" fillId="0" borderId="19" xfId="1" applyFont="1" applyFill="1" applyBorder="1"/>
    <xf numFmtId="1" fontId="9" fillId="2" borderId="18" xfId="1" applyNumberFormat="1" applyFont="1" applyFill="1" applyBorder="1"/>
    <xf numFmtId="1" fontId="9" fillId="2" borderId="19" xfId="1" applyNumberFormat="1" applyFont="1" applyFill="1" applyBorder="1"/>
    <xf numFmtId="1" fontId="9" fillId="2" borderId="19" xfId="1" applyNumberFormat="1" applyFont="1" applyFill="1" applyBorder="1" applyAlignment="1">
      <alignment horizontal="right"/>
    </xf>
    <xf numFmtId="1" fontId="7" fillId="0" borderId="19" xfId="1" applyNumberFormat="1" applyFont="1" applyFill="1" applyBorder="1"/>
    <xf numFmtId="3" fontId="22" fillId="10" borderId="19" xfId="0" applyNumberFormat="1" applyFont="1" applyFill="1" applyBorder="1" applyAlignment="1">
      <alignment vertical="center"/>
    </xf>
    <xf numFmtId="0" fontId="9" fillId="0" borderId="19" xfId="1" applyFont="1" applyFill="1" applyBorder="1" applyAlignment="1">
      <alignment horizontal="center"/>
    </xf>
    <xf numFmtId="3" fontId="23" fillId="3" borderId="19" xfId="0" applyNumberFormat="1" applyFont="1" applyFill="1" applyBorder="1" applyAlignment="1" applyProtection="1">
      <alignment vertical="center"/>
      <protection locked="0"/>
    </xf>
    <xf numFmtId="0" fontId="0" fillId="6" borderId="24" xfId="0" applyFill="1" applyBorder="1"/>
    <xf numFmtId="9" fontId="9" fillId="0" borderId="24" xfId="6" applyFont="1" applyFill="1" applyBorder="1" applyAlignment="1" applyProtection="1">
      <alignment horizontal="right"/>
    </xf>
    <xf numFmtId="9" fontId="20" fillId="7" borderId="24" xfId="4" applyNumberFormat="1" applyFont="1" applyFill="1" applyBorder="1" applyAlignment="1" applyProtection="1">
      <alignment horizontal="right" vertical="center"/>
      <protection locked="0"/>
    </xf>
    <xf numFmtId="9" fontId="22" fillId="3" borderId="24" xfId="1" applyNumberFormat="1" applyFont="1" applyFill="1" applyBorder="1" applyAlignment="1">
      <alignment vertical="center"/>
    </xf>
    <xf numFmtId="9" fontId="22" fillId="10" borderId="24" xfId="0" applyNumberFormat="1" applyFont="1" applyFill="1" applyBorder="1" applyAlignment="1">
      <alignment vertical="center"/>
    </xf>
    <xf numFmtId="3" fontId="23" fillId="3" borderId="24" xfId="0" applyNumberFormat="1" applyFont="1" applyFill="1" applyBorder="1" applyAlignment="1" applyProtection="1">
      <alignment vertical="center"/>
      <protection locked="0"/>
    </xf>
    <xf numFmtId="9" fontId="23" fillId="0" borderId="55" xfId="0" applyNumberFormat="1" applyFont="1" applyBorder="1"/>
    <xf numFmtId="9" fontId="23" fillId="0" borderId="21" xfId="0" applyNumberFormat="1" applyFont="1" applyBorder="1"/>
    <xf numFmtId="9" fontId="23" fillId="0" borderId="22" xfId="0" applyNumberFormat="1" applyFont="1" applyBorder="1"/>
    <xf numFmtId="0" fontId="25" fillId="2" borderId="16" xfId="1" applyFont="1" applyFill="1" applyBorder="1" applyAlignment="1">
      <alignment horizontal="left" vertical="center" wrapText="1" indent="1"/>
    </xf>
    <xf numFmtId="0" fontId="4" fillId="2" borderId="24" xfId="1" applyFont="1" applyFill="1" applyBorder="1" applyAlignment="1">
      <alignment horizontal="left"/>
    </xf>
    <xf numFmtId="9" fontId="22" fillId="2" borderId="24" xfId="0" applyNumberFormat="1" applyFont="1" applyFill="1" applyBorder="1" applyAlignment="1">
      <alignment vertical="center"/>
    </xf>
    <xf numFmtId="3" fontId="22" fillId="2" borderId="24" xfId="0" applyNumberFormat="1" applyFont="1" applyFill="1" applyBorder="1" applyAlignment="1">
      <alignment vertical="center"/>
    </xf>
    <xf numFmtId="9" fontId="9" fillId="2" borderId="24" xfId="6" applyFont="1" applyFill="1" applyBorder="1" applyAlignment="1" applyProtection="1">
      <alignment horizontal="right"/>
    </xf>
    <xf numFmtId="9" fontId="22" fillId="2" borderId="24" xfId="1" applyNumberFormat="1" applyFont="1" applyFill="1" applyBorder="1" applyAlignment="1">
      <alignment vertical="center"/>
    </xf>
    <xf numFmtId="9" fontId="23" fillId="2" borderId="24" xfId="1" applyNumberFormat="1" applyFont="1" applyFill="1" applyBorder="1" applyAlignment="1">
      <alignment vertical="center"/>
    </xf>
    <xf numFmtId="1" fontId="25" fillId="2" borderId="18" xfId="1" applyNumberFormat="1" applyFont="1" applyFill="1" applyBorder="1" applyAlignment="1">
      <alignment horizontal="right" vertical="center" wrapText="1" indent="1"/>
    </xf>
    <xf numFmtId="1" fontId="25" fillId="2" borderId="19" xfId="1" applyNumberFormat="1" applyFont="1" applyFill="1" applyBorder="1" applyAlignment="1">
      <alignment horizontal="right" vertical="center" wrapText="1" indent="1"/>
    </xf>
    <xf numFmtId="0" fontId="6" fillId="9" borderId="19" xfId="1" applyFont="1" applyFill="1" applyBorder="1" applyAlignment="1">
      <alignment horizontal="center" vertical="center"/>
    </xf>
    <xf numFmtId="0" fontId="6" fillId="5" borderId="19" xfId="1" applyFont="1" applyFill="1" applyBorder="1" applyAlignment="1">
      <alignment horizontal="center" vertical="center"/>
    </xf>
    <xf numFmtId="0" fontId="23" fillId="2" borderId="14" xfId="4" applyFont="1" applyFill="1" applyBorder="1" applyProtection="1">
      <protection locked="0"/>
    </xf>
    <xf numFmtId="0" fontId="1" fillId="9" borderId="20" xfId="4" applyFont="1" applyFill="1" applyBorder="1" applyAlignment="1" applyProtection="1">
      <alignment horizontal="center"/>
      <protection locked="0"/>
    </xf>
    <xf numFmtId="0" fontId="4" fillId="2" borderId="20" xfId="1" applyFont="1" applyFill="1" applyBorder="1" applyAlignment="1">
      <alignment horizontal="left"/>
    </xf>
    <xf numFmtId="3" fontId="22" fillId="3" borderId="20" xfId="0" applyNumberFormat="1" applyFont="1" applyFill="1" applyBorder="1" applyAlignment="1">
      <alignment vertical="center"/>
    </xf>
    <xf numFmtId="2" fontId="22" fillId="3" borderId="20" xfId="0" applyNumberFormat="1" applyFont="1" applyFill="1" applyBorder="1" applyAlignment="1">
      <alignment vertical="center"/>
    </xf>
    <xf numFmtId="1" fontId="23" fillId="3" borderId="20" xfId="1" applyNumberFormat="1" applyFont="1" applyFill="1" applyBorder="1" applyAlignment="1">
      <alignment vertical="center"/>
    </xf>
    <xf numFmtId="9" fontId="23" fillId="3" borderId="20" xfId="1" applyNumberFormat="1" applyFont="1" applyFill="1" applyBorder="1" applyAlignment="1">
      <alignment vertical="center"/>
    </xf>
    <xf numFmtId="10" fontId="7" fillId="3" borderId="20" xfId="1" applyNumberFormat="1" applyFont="1" applyFill="1" applyBorder="1" applyAlignment="1">
      <alignment horizontal="right" vertical="center" indent="1"/>
    </xf>
    <xf numFmtId="1" fontId="22" fillId="3" borderId="20" xfId="1" applyNumberFormat="1" applyFont="1" applyFill="1" applyBorder="1" applyAlignment="1">
      <alignment vertical="center"/>
    </xf>
    <xf numFmtId="1" fontId="25" fillId="2" borderId="20" xfId="1" applyNumberFormat="1" applyFont="1" applyFill="1" applyBorder="1" applyAlignment="1">
      <alignment horizontal="right" vertical="center" wrapText="1" indent="1"/>
    </xf>
    <xf numFmtId="1" fontId="20" fillId="7" borderId="20" xfId="4" applyNumberFormat="1" applyFont="1" applyFill="1" applyBorder="1" applyAlignment="1" applyProtection="1">
      <alignment horizontal="right" vertical="center"/>
      <protection locked="0"/>
    </xf>
    <xf numFmtId="1" fontId="7" fillId="0" borderId="20" xfId="1" applyNumberFormat="1" applyFont="1" applyFill="1" applyBorder="1"/>
    <xf numFmtId="3" fontId="22" fillId="10" borderId="20" xfId="0" applyNumberFormat="1" applyFont="1" applyFill="1" applyBorder="1" applyAlignment="1">
      <alignment vertical="center"/>
    </xf>
    <xf numFmtId="3" fontId="23" fillId="3" borderId="20" xfId="1" applyNumberFormat="1" applyFont="1" applyFill="1" applyBorder="1" applyAlignment="1">
      <alignment vertical="center"/>
    </xf>
    <xf numFmtId="3" fontId="23" fillId="3" borderId="20" xfId="0" applyNumberFormat="1" applyFont="1" applyFill="1" applyBorder="1" applyAlignment="1" applyProtection="1">
      <alignment vertical="center"/>
      <protection locked="0"/>
    </xf>
    <xf numFmtId="9" fontId="23" fillId="0" borderId="44" xfId="0" applyNumberFormat="1" applyFont="1" applyBorder="1"/>
    <xf numFmtId="10" fontId="7" fillId="3" borderId="18" xfId="1" applyNumberFormat="1" applyFont="1" applyFill="1" applyBorder="1" applyAlignment="1">
      <alignment horizontal="right" vertical="center" indent="1"/>
    </xf>
    <xf numFmtId="1" fontId="7" fillId="0" borderId="18" xfId="1" applyNumberFormat="1" applyFont="1" applyFill="1" applyBorder="1"/>
    <xf numFmtId="0" fontId="0" fillId="2" borderId="0" xfId="0" applyFill="1" applyAlignment="1"/>
    <xf numFmtId="0" fontId="0" fillId="2" borderId="28" xfId="0" applyFill="1" applyBorder="1" applyAlignment="1"/>
    <xf numFmtId="0" fontId="0" fillId="2" borderId="26" xfId="0" applyFill="1" applyBorder="1" applyAlignment="1"/>
    <xf numFmtId="0" fontId="10" fillId="2" borderId="26" xfId="1" applyFont="1" applyFill="1" applyBorder="1" applyAlignment="1">
      <alignment horizontal="center" vertical="center" wrapText="1"/>
    </xf>
    <xf numFmtId="0" fontId="18" fillId="2" borderId="26" xfId="4" applyFont="1" applyFill="1" applyBorder="1" applyAlignment="1" applyProtection="1">
      <alignment horizontal="center"/>
      <protection locked="0"/>
    </xf>
    <xf numFmtId="0" fontId="18" fillId="2" borderId="27" xfId="3" applyFont="1" applyFill="1" applyBorder="1" applyAlignment="1" applyProtection="1">
      <alignment horizontal="center"/>
      <protection locked="0"/>
    </xf>
    <xf numFmtId="1" fontId="23" fillId="3" borderId="14" xfId="1" applyNumberFormat="1" applyFont="1" applyFill="1" applyBorder="1" applyAlignment="1">
      <alignment horizontal="right" vertical="center" indent="1"/>
    </xf>
    <xf numFmtId="1" fontId="23" fillId="3" borderId="56" xfId="1" applyNumberFormat="1" applyFont="1" applyFill="1" applyBorder="1" applyAlignment="1">
      <alignment vertical="center"/>
    </xf>
    <xf numFmtId="1" fontId="23" fillId="3" borderId="57" xfId="1" applyNumberFormat="1" applyFont="1" applyFill="1" applyBorder="1" applyAlignment="1">
      <alignment horizontal="right" vertical="center" indent="1"/>
    </xf>
    <xf numFmtId="1" fontId="23" fillId="3" borderId="57" xfId="1" applyNumberFormat="1" applyFont="1" applyFill="1" applyBorder="1" applyAlignment="1">
      <alignment vertical="center"/>
    </xf>
    <xf numFmtId="9" fontId="12" fillId="2" borderId="31" xfId="6" applyFont="1" applyFill="1" applyBorder="1" applyAlignment="1" applyProtection="1">
      <alignment horizontal="center"/>
    </xf>
    <xf numFmtId="9" fontId="12" fillId="2" borderId="58" xfId="6" applyFont="1" applyFill="1" applyBorder="1" applyAlignment="1" applyProtection="1">
      <alignment horizontal="center"/>
    </xf>
    <xf numFmtId="9" fontId="23" fillId="3" borderId="55" xfId="1" applyNumberFormat="1" applyFont="1" applyFill="1" applyBorder="1" applyAlignment="1">
      <alignment vertical="center"/>
    </xf>
    <xf numFmtId="9" fontId="23" fillId="3" borderId="21" xfId="1" applyNumberFormat="1" applyFont="1" applyFill="1" applyBorder="1" applyAlignment="1">
      <alignment vertical="center"/>
    </xf>
    <xf numFmtId="0" fontId="23" fillId="0" borderId="14" xfId="4" applyFont="1" applyFill="1" applyBorder="1" applyProtection="1">
      <protection locked="0"/>
    </xf>
    <xf numFmtId="0" fontId="1" fillId="2" borderId="9" xfId="4" applyFont="1" applyFill="1" applyBorder="1" applyProtection="1">
      <protection locked="0"/>
    </xf>
    <xf numFmtId="0" fontId="1" fillId="0" borderId="0" xfId="0" applyFont="1"/>
    <xf numFmtId="49" fontId="34" fillId="0" borderId="0" xfId="0" applyNumberFormat="1" applyFont="1"/>
    <xf numFmtId="0" fontId="23" fillId="0" borderId="55" xfId="4" applyFont="1" applyBorder="1" applyProtection="1">
      <protection locked="0"/>
    </xf>
    <xf numFmtId="3" fontId="7" fillId="3" borderId="21" xfId="0" applyNumberFormat="1" applyFont="1" applyFill="1" applyBorder="1" applyAlignment="1">
      <alignment horizontal="right" vertical="center" indent="1"/>
    </xf>
    <xf numFmtId="1" fontId="10" fillId="3" borderId="21" xfId="0" applyNumberFormat="1" applyFont="1" applyFill="1" applyBorder="1" applyAlignment="1">
      <alignment horizontal="right" vertical="center" indent="1"/>
    </xf>
    <xf numFmtId="3" fontId="7" fillId="3" borderId="44" xfId="0" applyNumberFormat="1" applyFont="1" applyFill="1" applyBorder="1" applyAlignment="1">
      <alignment horizontal="right" vertical="center" indent="1"/>
    </xf>
    <xf numFmtId="1" fontId="23" fillId="3" borderId="55" xfId="1" applyNumberFormat="1" applyFont="1" applyFill="1" applyBorder="1" applyAlignment="1">
      <alignment vertical="center"/>
    </xf>
    <xf numFmtId="1" fontId="23" fillId="3" borderId="21" xfId="1" applyNumberFormat="1" applyFont="1" applyFill="1" applyBorder="1" applyAlignment="1">
      <alignment vertical="center"/>
    </xf>
    <xf numFmtId="9" fontId="20" fillId="7" borderId="24" xfId="4" applyNumberFormat="1" applyFont="1" applyFill="1" applyBorder="1" applyAlignment="1" applyProtection="1">
      <alignment horizontal="right"/>
      <protection locked="0"/>
    </xf>
    <xf numFmtId="9" fontId="22" fillId="5" borderId="24" xfId="4" applyNumberFormat="1" applyFont="1" applyFill="1" applyBorder="1" applyAlignment="1" applyProtection="1">
      <alignment horizontal="right"/>
      <protection locked="0"/>
    </xf>
    <xf numFmtId="9" fontId="25" fillId="2" borderId="24" xfId="1" applyNumberFormat="1" applyFont="1" applyFill="1" applyBorder="1" applyAlignment="1">
      <alignment vertical="center" wrapText="1"/>
    </xf>
    <xf numFmtId="1" fontId="25" fillId="2" borderId="19" xfId="1" applyNumberFormat="1" applyFont="1" applyFill="1" applyBorder="1" applyAlignment="1">
      <alignment vertical="center" wrapText="1"/>
    </xf>
    <xf numFmtId="1" fontId="25" fillId="2" borderId="18" xfId="1" applyNumberFormat="1" applyFont="1" applyFill="1" applyBorder="1" applyAlignment="1">
      <alignment vertical="center" wrapText="1"/>
    </xf>
    <xf numFmtId="9" fontId="22" fillId="10" borderId="24" xfId="1" applyNumberFormat="1" applyFont="1" applyFill="1" applyBorder="1" applyAlignment="1">
      <alignment vertical="center"/>
    </xf>
    <xf numFmtId="3" fontId="22" fillId="3" borderId="19" xfId="1" applyNumberFormat="1" applyFont="1" applyFill="1" applyBorder="1" applyAlignment="1">
      <alignment vertical="center"/>
    </xf>
    <xf numFmtId="3" fontId="20" fillId="7" borderId="18" xfId="4" applyNumberFormat="1" applyFont="1" applyFill="1" applyBorder="1" applyAlignment="1" applyProtection="1">
      <alignment horizontal="right" vertical="center"/>
      <protection locked="0"/>
    </xf>
    <xf numFmtId="3" fontId="20" fillId="7" borderId="19" xfId="4" applyNumberFormat="1" applyFont="1" applyFill="1" applyBorder="1" applyAlignment="1" applyProtection="1">
      <alignment horizontal="right" vertical="center"/>
      <protection locked="0"/>
    </xf>
    <xf numFmtId="3" fontId="20" fillId="7" borderId="18" xfId="4" applyNumberFormat="1" applyFont="1" applyFill="1" applyBorder="1" applyAlignment="1" applyProtection="1">
      <alignment vertical="center"/>
      <protection locked="0"/>
    </xf>
    <xf numFmtId="3" fontId="20" fillId="7" borderId="19" xfId="4" applyNumberFormat="1" applyFont="1" applyFill="1" applyBorder="1" applyAlignment="1" applyProtection="1">
      <alignment vertical="center"/>
      <protection locked="0"/>
    </xf>
    <xf numFmtId="0" fontId="21" fillId="0" borderId="19" xfId="4" applyFont="1" applyFill="1" applyBorder="1" applyAlignment="1" applyProtection="1">
      <alignment horizontal="right" vertical="center"/>
      <protection locked="0"/>
    </xf>
    <xf numFmtId="0" fontId="23" fillId="3" borderId="19" xfId="1" applyFont="1" applyFill="1" applyBorder="1" applyAlignment="1">
      <alignment vertical="center"/>
    </xf>
    <xf numFmtId="1" fontId="22" fillId="0" borderId="19" xfId="1" applyNumberFormat="1" applyFont="1" applyFill="1" applyBorder="1" applyAlignment="1">
      <alignment vertical="center"/>
    </xf>
    <xf numFmtId="0" fontId="24" fillId="3" borderId="19" xfId="1" applyFont="1" applyFill="1" applyBorder="1" applyAlignment="1">
      <alignment vertical="center"/>
    </xf>
    <xf numFmtId="3" fontId="22" fillId="10" borderId="19" xfId="1" applyNumberFormat="1" applyFont="1" applyFill="1" applyBorder="1" applyAlignment="1">
      <alignment vertical="center"/>
    </xf>
    <xf numFmtId="3" fontId="22" fillId="10" borderId="18" xfId="0" applyNumberFormat="1" applyFont="1" applyFill="1" applyBorder="1" applyAlignment="1">
      <alignment horizontal="right" vertical="center"/>
    </xf>
    <xf numFmtId="3" fontId="22" fillId="10" borderId="19" xfId="1" applyNumberFormat="1" applyFont="1" applyFill="1" applyBorder="1" applyAlignment="1">
      <alignment vertical="center" wrapText="1"/>
    </xf>
    <xf numFmtId="3" fontId="22" fillId="10" borderId="19" xfId="0" applyNumberFormat="1" applyFont="1" applyFill="1" applyBorder="1" applyAlignment="1">
      <alignment vertical="center" wrapText="1"/>
    </xf>
    <xf numFmtId="3" fontId="23" fillId="3" borderId="18" xfId="0" applyNumberFormat="1" applyFont="1" applyFill="1" applyBorder="1" applyAlignment="1" applyProtection="1">
      <alignment vertical="center" wrapText="1"/>
      <protection locked="0"/>
    </xf>
    <xf numFmtId="3" fontId="23" fillId="3" borderId="19" xfId="0" applyNumberFormat="1" applyFont="1" applyFill="1" applyBorder="1" applyAlignment="1" applyProtection="1">
      <alignment vertical="center" wrapText="1"/>
      <protection locked="0"/>
    </xf>
    <xf numFmtId="3" fontId="22" fillId="3" borderId="19" xfId="0" applyNumberFormat="1" applyFont="1" applyFill="1" applyBorder="1" applyAlignment="1" applyProtection="1">
      <alignment vertical="center" wrapText="1"/>
      <protection locked="0"/>
    </xf>
    <xf numFmtId="9" fontId="25" fillId="2" borderId="55" xfId="1" applyNumberFormat="1" applyFont="1" applyFill="1" applyBorder="1" applyAlignment="1">
      <alignment vertical="center" wrapText="1"/>
    </xf>
    <xf numFmtId="9" fontId="25" fillId="2" borderId="21" xfId="1" applyNumberFormat="1" applyFont="1" applyFill="1" applyBorder="1" applyAlignment="1">
      <alignment vertical="center" wrapText="1"/>
    </xf>
    <xf numFmtId="9" fontId="23" fillId="2" borderId="21" xfId="1" applyNumberFormat="1" applyFont="1" applyFill="1" applyBorder="1" applyAlignment="1">
      <alignment vertical="center" wrapText="1"/>
    </xf>
    <xf numFmtId="0" fontId="23" fillId="11" borderId="19" xfId="1" applyFont="1" applyFill="1" applyBorder="1" applyAlignment="1">
      <alignment vertical="center"/>
    </xf>
    <xf numFmtId="3" fontId="23" fillId="3" borderId="19" xfId="1" applyNumberFormat="1" applyFont="1" applyFill="1" applyBorder="1" applyAlignment="1">
      <alignment vertical="center" wrapText="1"/>
    </xf>
    <xf numFmtId="9" fontId="22" fillId="2" borderId="31" xfId="4" applyNumberFormat="1" applyFont="1" applyFill="1" applyBorder="1" applyAlignment="1" applyProtection="1">
      <alignment horizontal="right"/>
      <protection locked="0"/>
    </xf>
    <xf numFmtId="9" fontId="22" fillId="2" borderId="31" xfId="4" applyNumberFormat="1" applyFont="1" applyFill="1" applyBorder="1" applyAlignment="1">
      <alignment horizontal="right"/>
    </xf>
    <xf numFmtId="3" fontId="22" fillId="2" borderId="31" xfId="4" applyNumberFormat="1" applyFont="1" applyFill="1" applyBorder="1" applyAlignment="1">
      <alignment horizontal="right"/>
    </xf>
    <xf numFmtId="0" fontId="7" fillId="2" borderId="24" xfId="1" applyFont="1" applyFill="1" applyBorder="1" applyAlignment="1">
      <alignment horizontal="center" vertical="center" wrapText="1"/>
    </xf>
    <xf numFmtId="9" fontId="28" fillId="2" borderId="24" xfId="6" applyFont="1" applyFill="1" applyBorder="1" applyAlignment="1" applyProtection="1"/>
    <xf numFmtId="9" fontId="25" fillId="2" borderId="24" xfId="6" applyFont="1" applyFill="1" applyBorder="1" applyAlignment="1" applyProtection="1">
      <alignment vertical="center"/>
    </xf>
    <xf numFmtId="0" fontId="15" fillId="0" borderId="0" xfId="0" applyFont="1"/>
    <xf numFmtId="1" fontId="15" fillId="0" borderId="0" xfId="0" applyNumberFormat="1" applyFont="1"/>
    <xf numFmtId="0" fontId="30" fillId="0" borderId="0" xfId="0" applyFont="1"/>
    <xf numFmtId="0" fontId="14" fillId="0" borderId="0" xfId="1" applyFont="1" applyFill="1" applyBorder="1" applyAlignment="1">
      <alignment horizontal="right" vertical="center" wrapText="1" indent="1"/>
    </xf>
    <xf numFmtId="1" fontId="30" fillId="0" borderId="0" xfId="0" applyNumberFormat="1" applyFont="1"/>
    <xf numFmtId="0" fontId="14" fillId="0" borderId="0" xfId="1" applyFont="1" applyFill="1" applyBorder="1" applyAlignment="1">
      <alignment horizontal="left" vertical="center" wrapText="1" indent="1"/>
    </xf>
    <xf numFmtId="0" fontId="0" fillId="0" borderId="59" xfId="0" applyBorder="1"/>
    <xf numFmtId="1" fontId="22" fillId="10" borderId="20" xfId="1" applyNumberFormat="1" applyFont="1" applyFill="1" applyBorder="1" applyAlignment="1">
      <alignment vertical="center"/>
    </xf>
    <xf numFmtId="3" fontId="20" fillId="7" borderId="20" xfId="4" applyNumberFormat="1" applyFont="1" applyFill="1" applyBorder="1" applyAlignment="1" applyProtection="1">
      <alignment horizontal="right" vertical="center"/>
      <protection locked="0"/>
    </xf>
    <xf numFmtId="3" fontId="20" fillId="7" borderId="20" xfId="4" applyNumberFormat="1" applyFont="1" applyFill="1" applyBorder="1" applyAlignment="1" applyProtection="1">
      <alignment vertical="center"/>
      <protection locked="0"/>
    </xf>
    <xf numFmtId="0" fontId="4" fillId="16" borderId="20" xfId="1" applyFont="1" applyFill="1" applyBorder="1" applyAlignment="1">
      <alignment horizontal="left"/>
    </xf>
    <xf numFmtId="3" fontId="22" fillId="17" borderId="20" xfId="0" applyNumberFormat="1" applyFont="1" applyFill="1" applyBorder="1" applyAlignment="1">
      <alignment vertical="center"/>
    </xf>
    <xf numFmtId="1" fontId="23" fillId="17" borderId="20" xfId="1" applyNumberFormat="1" applyFont="1" applyFill="1" applyBorder="1" applyAlignment="1">
      <alignment vertical="center"/>
    </xf>
    <xf numFmtId="9" fontId="23" fillId="17" borderId="20" xfId="1" applyNumberFormat="1" applyFont="1" applyFill="1" applyBorder="1" applyAlignment="1">
      <alignment vertical="center"/>
    </xf>
    <xf numFmtId="0" fontId="10" fillId="17" borderId="20" xfId="1" applyFont="1" applyFill="1" applyBorder="1" applyAlignment="1">
      <alignment horizontal="right" vertical="center" indent="1"/>
    </xf>
    <xf numFmtId="3" fontId="23" fillId="17" borderId="20" xfId="1" applyNumberFormat="1" applyFont="1" applyFill="1" applyBorder="1" applyAlignment="1">
      <alignment vertical="center"/>
    </xf>
    <xf numFmtId="9" fontId="10" fillId="17" borderId="20" xfId="1" applyNumberFormat="1" applyFont="1" applyFill="1" applyBorder="1" applyAlignment="1">
      <alignment horizontal="right" vertical="center" indent="1"/>
    </xf>
    <xf numFmtId="0" fontId="7" fillId="17" borderId="20" xfId="1" applyFont="1" applyFill="1" applyBorder="1" applyAlignment="1">
      <alignment horizontal="right" vertical="center" indent="1"/>
    </xf>
    <xf numFmtId="1" fontId="22" fillId="17" borderId="20" xfId="1" applyNumberFormat="1" applyFont="1" applyFill="1" applyBorder="1" applyAlignment="1">
      <alignment vertical="center"/>
    </xf>
    <xf numFmtId="3" fontId="22" fillId="17" borderId="20" xfId="1" applyNumberFormat="1" applyFont="1" applyFill="1" applyBorder="1" applyAlignment="1">
      <alignment vertical="center"/>
    </xf>
    <xf numFmtId="1" fontId="25" fillId="16" borderId="20" xfId="1" applyNumberFormat="1" applyFont="1" applyFill="1" applyBorder="1" applyAlignment="1">
      <alignment vertical="center" wrapText="1"/>
    </xf>
    <xf numFmtId="3" fontId="23" fillId="17" borderId="20" xfId="0" applyNumberFormat="1" applyFont="1" applyFill="1" applyBorder="1" applyAlignment="1" applyProtection="1">
      <alignment vertical="center"/>
      <protection locked="0"/>
    </xf>
    <xf numFmtId="9" fontId="23" fillId="16" borderId="44" xfId="0" applyNumberFormat="1" applyFont="1" applyFill="1" applyBorder="1"/>
    <xf numFmtId="0" fontId="6" fillId="0" borderId="20" xfId="1" applyFont="1" applyFill="1" applyBorder="1" applyAlignment="1">
      <alignment vertical="center"/>
    </xf>
    <xf numFmtId="0" fontId="28" fillId="0" borderId="20" xfId="1" applyFont="1" applyFill="1" applyBorder="1"/>
    <xf numFmtId="3" fontId="22" fillId="8" borderId="20" xfId="0" applyNumberFormat="1" applyFont="1" applyFill="1" applyBorder="1" applyAlignment="1">
      <alignment horizontal="right" vertical="center" indent="1"/>
    </xf>
    <xf numFmtId="3" fontId="22" fillId="0" borderId="20" xfId="0" applyNumberFormat="1" applyFont="1" applyFill="1" applyBorder="1" applyAlignment="1">
      <alignment horizontal="right" vertical="center" indent="1"/>
    </xf>
    <xf numFmtId="3" fontId="22" fillId="10" borderId="20" xfId="1" applyNumberFormat="1" applyFont="1" applyFill="1" applyBorder="1" applyAlignment="1">
      <alignment vertical="center" wrapText="1"/>
    </xf>
    <xf numFmtId="3" fontId="22" fillId="10" borderId="20" xfId="1" applyNumberFormat="1" applyFont="1" applyFill="1" applyBorder="1" applyAlignment="1">
      <alignment vertical="center"/>
    </xf>
    <xf numFmtId="3" fontId="22" fillId="17" borderId="20" xfId="0" applyNumberFormat="1" applyFont="1" applyFill="1" applyBorder="1" applyAlignment="1">
      <alignment horizontal="right" vertical="center" indent="1"/>
    </xf>
    <xf numFmtId="0" fontId="23" fillId="17" borderId="20" xfId="1" applyFont="1" applyFill="1" applyBorder="1" applyAlignment="1">
      <alignment horizontal="right" vertical="center" indent="1"/>
    </xf>
    <xf numFmtId="9" fontId="23" fillId="17" borderId="20" xfId="1" applyNumberFormat="1" applyFont="1" applyFill="1" applyBorder="1" applyAlignment="1">
      <alignment horizontal="right" vertical="center" indent="1"/>
    </xf>
    <xf numFmtId="0" fontId="22" fillId="17" borderId="20" xfId="1" applyFont="1" applyFill="1" applyBorder="1" applyAlignment="1">
      <alignment horizontal="right" vertical="center" indent="1"/>
    </xf>
    <xf numFmtId="1" fontId="22" fillId="16" borderId="20" xfId="1" applyNumberFormat="1" applyFont="1" applyFill="1" applyBorder="1" applyAlignment="1">
      <alignment vertical="center"/>
    </xf>
    <xf numFmtId="0" fontId="24" fillId="17" borderId="20" xfId="1" applyFont="1" applyFill="1" applyBorder="1" applyAlignment="1">
      <alignment vertical="center"/>
    </xf>
    <xf numFmtId="3" fontId="23" fillId="17" borderId="20" xfId="0" applyNumberFormat="1" applyFont="1" applyFill="1" applyBorder="1" applyAlignment="1">
      <alignment vertical="center"/>
    </xf>
    <xf numFmtId="0" fontId="28" fillId="16" borderId="20" xfId="1" applyFont="1" applyFill="1" applyBorder="1" applyAlignment="1">
      <alignment horizontal="center"/>
    </xf>
    <xf numFmtId="3" fontId="22" fillId="17" borderId="20" xfId="0" applyNumberFormat="1" applyFont="1" applyFill="1" applyBorder="1" applyAlignment="1" applyProtection="1">
      <alignment horizontal="right" vertical="center" indent="1"/>
      <protection locked="0"/>
    </xf>
    <xf numFmtId="0" fontId="23" fillId="16" borderId="20" xfId="0" applyFont="1" applyFill="1" applyBorder="1"/>
    <xf numFmtId="9" fontId="25" fillId="16" borderId="44" xfId="1" applyNumberFormat="1" applyFont="1" applyFill="1" applyBorder="1" applyAlignment="1">
      <alignment vertical="center" wrapText="1"/>
    </xf>
    <xf numFmtId="9" fontId="30" fillId="3" borderId="19" xfId="1" applyNumberFormat="1" applyFont="1" applyFill="1" applyBorder="1" applyAlignment="1">
      <alignment horizontal="right" vertical="center" indent="1"/>
    </xf>
    <xf numFmtId="9" fontId="30" fillId="3" borderId="19" xfId="1" applyNumberFormat="1" applyFont="1" applyFill="1" applyBorder="1" applyAlignment="1">
      <alignment vertical="center"/>
    </xf>
    <xf numFmtId="0" fontId="9" fillId="0" borderId="20" xfId="1" applyFont="1" applyFill="1" applyBorder="1" applyAlignment="1">
      <alignment vertical="center"/>
    </xf>
    <xf numFmtId="1" fontId="9" fillId="6" borderId="20" xfId="1" applyNumberFormat="1" applyFont="1" applyFill="1" applyBorder="1" applyAlignment="1">
      <alignment vertical="center"/>
    </xf>
    <xf numFmtId="1" fontId="9" fillId="0" borderId="20" xfId="1" applyNumberFormat="1" applyFont="1" applyFill="1" applyBorder="1" applyAlignment="1">
      <alignment vertical="center"/>
    </xf>
    <xf numFmtId="1" fontId="22" fillId="9" borderId="20" xfId="4" applyNumberFormat="1" applyFont="1" applyFill="1" applyBorder="1" applyAlignment="1" applyProtection="1">
      <alignment vertical="center"/>
      <protection locked="0"/>
    </xf>
    <xf numFmtId="1" fontId="10" fillId="17" borderId="20" xfId="1" applyNumberFormat="1" applyFont="1" applyFill="1" applyBorder="1" applyAlignment="1">
      <alignment vertical="center"/>
    </xf>
    <xf numFmtId="9" fontId="23" fillId="17" borderId="44" xfId="1" applyNumberFormat="1" applyFont="1" applyFill="1" applyBorder="1" applyAlignment="1">
      <alignment vertical="center"/>
    </xf>
    <xf numFmtId="1" fontId="30" fillId="3" borderId="19" xfId="1" applyNumberFormat="1" applyFont="1" applyFill="1" applyBorder="1" applyAlignment="1">
      <alignment vertical="center"/>
    </xf>
    <xf numFmtId="0" fontId="18" fillId="2" borderId="27" xfId="4" applyFont="1" applyFill="1" applyBorder="1" applyAlignment="1" applyProtection="1">
      <alignment horizontal="center"/>
      <protection locked="0"/>
    </xf>
    <xf numFmtId="0" fontId="22" fillId="5" borderId="27" xfId="4" applyFont="1" applyFill="1" applyBorder="1" applyAlignment="1" applyProtection="1">
      <alignment horizontal="right"/>
      <protection locked="0"/>
    </xf>
    <xf numFmtId="3" fontId="20" fillId="7" borderId="27" xfId="4" applyNumberFormat="1" applyFont="1" applyFill="1" applyBorder="1" applyAlignment="1" applyProtection="1">
      <alignment horizontal="right"/>
      <protection locked="0"/>
    </xf>
    <xf numFmtId="0" fontId="9" fillId="0" borderId="27" xfId="1" applyFont="1" applyFill="1" applyBorder="1"/>
    <xf numFmtId="1" fontId="7" fillId="8" borderId="27" xfId="1" applyNumberFormat="1" applyFont="1" applyFill="1" applyBorder="1"/>
    <xf numFmtId="1" fontId="7" fillId="0" borderId="27" xfId="1" applyNumberFormat="1" applyFont="1" applyFill="1" applyBorder="1"/>
    <xf numFmtId="1" fontId="22" fillId="5" borderId="27" xfId="4" applyNumberFormat="1" applyFont="1" applyFill="1" applyBorder="1" applyAlignment="1" applyProtection="1">
      <alignment horizontal="right"/>
      <protection locked="0"/>
    </xf>
    <xf numFmtId="0" fontId="9" fillId="0" borderId="27" xfId="1" applyFont="1" applyFill="1" applyBorder="1" applyAlignment="1">
      <alignment horizontal="center"/>
    </xf>
    <xf numFmtId="1" fontId="30" fillId="3" borderId="26" xfId="1" applyNumberFormat="1" applyFont="1" applyFill="1" applyBorder="1" applyAlignment="1">
      <alignment vertical="center"/>
    </xf>
    <xf numFmtId="9" fontId="30" fillId="3" borderId="26" xfId="1" applyNumberFormat="1" applyFont="1" applyFill="1" applyBorder="1" applyAlignment="1">
      <alignment vertical="center"/>
    </xf>
    <xf numFmtId="3" fontId="22" fillId="16" borderId="27" xfId="4" applyNumberFormat="1" applyFont="1" applyFill="1" applyBorder="1" applyAlignment="1" applyProtection="1">
      <alignment horizontal="right"/>
      <protection locked="0"/>
    </xf>
    <xf numFmtId="164" fontId="22" fillId="16" borderId="27" xfId="4" applyNumberFormat="1" applyFont="1" applyFill="1" applyBorder="1" applyAlignment="1" applyProtection="1">
      <alignment horizontal="right"/>
      <protection locked="0"/>
    </xf>
    <xf numFmtId="3" fontId="22" fillId="16" borderId="27" xfId="4" applyNumberFormat="1" applyFont="1" applyFill="1" applyBorder="1" applyAlignment="1"/>
    <xf numFmtId="1" fontId="23" fillId="17" borderId="27" xfId="1" applyNumberFormat="1" applyFont="1" applyFill="1" applyBorder="1" applyAlignment="1">
      <alignment vertical="center"/>
    </xf>
    <xf numFmtId="9" fontId="23" fillId="17" borderId="27" xfId="1" applyNumberFormat="1" applyFont="1" applyFill="1" applyBorder="1" applyAlignment="1">
      <alignment vertical="center"/>
    </xf>
    <xf numFmtId="1" fontId="10" fillId="17" borderId="27" xfId="1" applyNumberFormat="1" applyFont="1" applyFill="1" applyBorder="1" applyAlignment="1">
      <alignment horizontal="right" vertical="center" indent="1"/>
    </xf>
    <xf numFmtId="0" fontId="7" fillId="17" borderId="27" xfId="1" applyFont="1" applyFill="1" applyBorder="1" applyAlignment="1">
      <alignment horizontal="right" vertical="center" indent="1"/>
    </xf>
    <xf numFmtId="167" fontId="22" fillId="16" borderId="27" xfId="4" applyNumberFormat="1" applyFont="1" applyFill="1" applyBorder="1"/>
    <xf numFmtId="3" fontId="22" fillId="17" borderId="27" xfId="1" applyNumberFormat="1" applyFont="1" applyFill="1" applyBorder="1" applyAlignment="1">
      <alignment vertical="center" wrapText="1"/>
    </xf>
    <xf numFmtId="9" fontId="23" fillId="17" borderId="27" xfId="1" applyNumberFormat="1" applyFont="1" applyFill="1" applyBorder="1" applyAlignment="1">
      <alignment vertical="center" wrapText="1"/>
    </xf>
    <xf numFmtId="9" fontId="10" fillId="17" borderId="27" xfId="1" applyNumberFormat="1" applyFont="1" applyFill="1" applyBorder="1" applyAlignment="1">
      <alignment horizontal="right" vertical="center" wrapText="1" indent="1"/>
    </xf>
    <xf numFmtId="0" fontId="23" fillId="17" borderId="27" xfId="1" applyFont="1" applyFill="1" applyBorder="1" applyAlignment="1">
      <alignment vertical="center"/>
    </xf>
    <xf numFmtId="1" fontId="23" fillId="17" borderId="27" xfId="1" applyNumberFormat="1" applyFont="1" applyFill="1" applyBorder="1" applyAlignment="1">
      <alignment horizontal="right" vertical="center" indent="1"/>
    </xf>
    <xf numFmtId="1" fontId="23" fillId="17" borderId="60" xfId="1" applyNumberFormat="1" applyFont="1" applyFill="1" applyBorder="1" applyAlignment="1">
      <alignment horizontal="right" vertical="center" indent="1"/>
    </xf>
    <xf numFmtId="0" fontId="18" fillId="2" borderId="61" xfId="4" applyFont="1" applyFill="1" applyBorder="1" applyAlignment="1" applyProtection="1">
      <alignment horizontal="center"/>
      <protection locked="0"/>
    </xf>
    <xf numFmtId="0" fontId="6" fillId="2" borderId="61" xfId="1" applyFont="1" applyFill="1" applyBorder="1" applyAlignment="1">
      <alignment vertical="center"/>
    </xf>
    <xf numFmtId="0" fontId="22" fillId="5" borderId="20" xfId="4" applyFont="1" applyFill="1" applyBorder="1" applyAlignment="1" applyProtection="1">
      <alignment horizontal="right"/>
      <protection locked="0"/>
    </xf>
    <xf numFmtId="3" fontId="20" fillId="7" borderId="20" xfId="4" applyNumberFormat="1" applyFont="1" applyFill="1" applyBorder="1" applyAlignment="1" applyProtection="1">
      <alignment horizontal="right"/>
      <protection locked="0"/>
    </xf>
    <xf numFmtId="1" fontId="20" fillId="7" borderId="20" xfId="4" applyNumberFormat="1" applyFont="1" applyFill="1" applyBorder="1" applyAlignment="1" applyProtection="1">
      <alignment horizontal="right"/>
      <protection locked="0"/>
    </xf>
    <xf numFmtId="0" fontId="21" fillId="16" borderId="20" xfId="4" applyFont="1" applyFill="1" applyBorder="1" applyAlignment="1" applyProtection="1">
      <alignment horizontal="right" vertical="center"/>
      <protection locked="0"/>
    </xf>
    <xf numFmtId="3" fontId="22" fillId="16" borderId="20" xfId="4" applyNumberFormat="1" applyFont="1" applyFill="1" applyBorder="1" applyAlignment="1" applyProtection="1">
      <alignment horizontal="right"/>
      <protection locked="0"/>
    </xf>
    <xf numFmtId="164" fontId="22" fillId="16" borderId="20" xfId="4" applyNumberFormat="1" applyFont="1" applyFill="1" applyBorder="1" applyAlignment="1" applyProtection="1">
      <alignment horizontal="right"/>
      <protection locked="0"/>
    </xf>
    <xf numFmtId="3" fontId="22" fillId="16" borderId="20" xfId="4" applyNumberFormat="1" applyFont="1" applyFill="1" applyBorder="1" applyAlignment="1">
      <alignment horizontal="right"/>
    </xf>
    <xf numFmtId="0" fontId="0" fillId="16" borderId="20" xfId="0" applyFill="1" applyBorder="1" applyAlignment="1">
      <alignment horizontal="right"/>
    </xf>
    <xf numFmtId="9" fontId="23" fillId="17" borderId="20" xfId="0" applyNumberFormat="1" applyFont="1" applyFill="1" applyBorder="1" applyAlignment="1">
      <alignment vertical="center"/>
    </xf>
    <xf numFmtId="3" fontId="23" fillId="17" borderId="20" xfId="0" applyNumberFormat="1" applyFont="1" applyFill="1" applyBorder="1" applyAlignment="1">
      <alignment horizontal="right" vertical="center" indent="1"/>
    </xf>
    <xf numFmtId="3" fontId="22" fillId="16" borderId="20" xfId="1" applyNumberFormat="1" applyFont="1" applyFill="1" applyBorder="1" applyAlignment="1">
      <alignment vertical="center" wrapText="1"/>
    </xf>
    <xf numFmtId="9" fontId="23" fillId="17" borderId="20" xfId="1" applyNumberFormat="1" applyFont="1" applyFill="1" applyBorder="1" applyAlignment="1">
      <alignment vertical="center" wrapText="1"/>
    </xf>
    <xf numFmtId="0" fontId="23" fillId="17" borderId="20" xfId="1" applyFont="1" applyFill="1" applyBorder="1" applyAlignment="1">
      <alignment horizontal="right" vertical="center" wrapText="1" indent="1"/>
    </xf>
    <xf numFmtId="0" fontId="23" fillId="17" borderId="20" xfId="1" applyFont="1" applyFill="1" applyBorder="1" applyAlignment="1">
      <alignment vertical="center"/>
    </xf>
    <xf numFmtId="1" fontId="23" fillId="17" borderId="20" xfId="1" applyNumberFormat="1" applyFont="1" applyFill="1" applyBorder="1" applyAlignment="1">
      <alignment horizontal="right" vertical="center" indent="1"/>
    </xf>
    <xf numFmtId="1" fontId="23" fillId="17" borderId="44" xfId="1" applyNumberFormat="1" applyFont="1" applyFill="1" applyBorder="1" applyAlignment="1">
      <alignment horizontal="right" vertical="center" indent="1"/>
    </xf>
    <xf numFmtId="1" fontId="22" fillId="5" borderId="20" xfId="4" applyNumberFormat="1" applyFont="1" applyFill="1" applyBorder="1" applyAlignment="1" applyProtection="1">
      <alignment horizontal="right"/>
      <protection locked="0"/>
    </xf>
    <xf numFmtId="4" fontId="22" fillId="3" borderId="19" xfId="0" applyNumberFormat="1" applyFont="1" applyFill="1" applyBorder="1" applyAlignment="1">
      <alignment vertical="center"/>
    </xf>
    <xf numFmtId="165" fontId="22" fillId="3" borderId="18" xfId="0" applyNumberFormat="1" applyFont="1" applyFill="1" applyBorder="1" applyAlignment="1">
      <alignment vertical="center"/>
    </xf>
    <xf numFmtId="164" fontId="22" fillId="0" borderId="19" xfId="4" applyNumberFormat="1" applyFont="1" applyFill="1" applyBorder="1" applyAlignment="1" applyProtection="1">
      <alignment horizontal="right"/>
      <protection locked="0"/>
    </xf>
    <xf numFmtId="9" fontId="14" fillId="3" borderId="19" xfId="1" applyNumberFormat="1" applyFont="1" applyFill="1" applyBorder="1" applyAlignment="1">
      <alignment horizontal="right" vertical="center" indent="1"/>
    </xf>
    <xf numFmtId="3" fontId="30" fillId="3" borderId="19" xfId="1" applyNumberFormat="1" applyFont="1" applyFill="1" applyBorder="1" applyAlignment="1">
      <alignment vertical="center"/>
    </xf>
    <xf numFmtId="0" fontId="36" fillId="0" borderId="0" xfId="0" applyFont="1"/>
    <xf numFmtId="1" fontId="23" fillId="3" borderId="19" xfId="1" applyNumberFormat="1" applyFont="1" applyFill="1" applyBorder="1" applyAlignment="1">
      <alignment horizontal="right" vertical="center"/>
    </xf>
    <xf numFmtId="0" fontId="21" fillId="6" borderId="20" xfId="4" applyFont="1" applyFill="1" applyBorder="1" applyAlignment="1" applyProtection="1">
      <alignment horizontal="center" vertical="center"/>
      <protection locked="0"/>
    </xf>
    <xf numFmtId="165" fontId="22" fillId="17" borderId="0" xfId="0" applyNumberFormat="1" applyFont="1" applyFill="1" applyBorder="1" applyAlignment="1">
      <alignment vertical="center"/>
    </xf>
    <xf numFmtId="0" fontId="9" fillId="0" borderId="20" xfId="1" applyFont="1" applyFill="1" applyBorder="1"/>
    <xf numFmtId="3" fontId="22" fillId="3" borderId="20" xfId="1" applyNumberFormat="1" applyFont="1" applyFill="1" applyBorder="1" applyAlignment="1">
      <alignment vertical="center"/>
    </xf>
    <xf numFmtId="1" fontId="25" fillId="2" borderId="20" xfId="1" applyNumberFormat="1" applyFont="1" applyFill="1" applyBorder="1" applyAlignment="1">
      <alignment vertical="center" wrapText="1"/>
    </xf>
    <xf numFmtId="0" fontId="9" fillId="2" borderId="20" xfId="1" applyFont="1" applyFill="1" applyBorder="1" applyAlignment="1">
      <alignment horizontal="center"/>
    </xf>
    <xf numFmtId="9" fontId="23" fillId="2" borderId="44" xfId="0" applyNumberFormat="1" applyFont="1" applyFill="1" applyBorder="1"/>
    <xf numFmtId="0" fontId="4" fillId="18" borderId="20" xfId="1" applyFont="1" applyFill="1" applyBorder="1" applyAlignment="1">
      <alignment horizontal="left"/>
    </xf>
    <xf numFmtId="3" fontId="22" fillId="19" borderId="20" xfId="0" applyNumberFormat="1" applyFont="1" applyFill="1" applyBorder="1" applyAlignment="1">
      <alignment vertical="center"/>
    </xf>
    <xf numFmtId="165" fontId="22" fillId="19" borderId="0" xfId="0" applyNumberFormat="1" applyFont="1" applyFill="1" applyBorder="1" applyAlignment="1">
      <alignment vertical="center"/>
    </xf>
    <xf numFmtId="3" fontId="23" fillId="19" borderId="20" xfId="1" applyNumberFormat="1" applyFont="1" applyFill="1" applyBorder="1" applyAlignment="1">
      <alignment vertical="center"/>
    </xf>
    <xf numFmtId="9" fontId="23" fillId="19" borderId="20" xfId="1" applyNumberFormat="1" applyFont="1" applyFill="1" applyBorder="1" applyAlignment="1">
      <alignment vertical="center"/>
    </xf>
    <xf numFmtId="0" fontId="10" fillId="19" borderId="20" xfId="1" applyFont="1" applyFill="1" applyBorder="1" applyAlignment="1">
      <alignment horizontal="right" vertical="center" indent="1"/>
    </xf>
    <xf numFmtId="9" fontId="10" fillId="19" borderId="20" xfId="1" applyNumberFormat="1" applyFont="1" applyFill="1" applyBorder="1" applyAlignment="1">
      <alignment horizontal="right" vertical="center" indent="1"/>
    </xf>
    <xf numFmtId="0" fontId="7" fillId="19" borderId="20" xfId="1" applyFont="1" applyFill="1" applyBorder="1" applyAlignment="1">
      <alignment horizontal="right" vertical="center" indent="1"/>
    </xf>
    <xf numFmtId="1" fontId="22" fillId="19" borderId="20" xfId="1" applyNumberFormat="1" applyFont="1" applyFill="1" applyBorder="1" applyAlignment="1">
      <alignment vertical="center"/>
    </xf>
    <xf numFmtId="3" fontId="22" fillId="19" borderId="20" xfId="1" applyNumberFormat="1" applyFont="1" applyFill="1" applyBorder="1" applyAlignment="1">
      <alignment vertical="center"/>
    </xf>
    <xf numFmtId="1" fontId="23" fillId="19" borderId="20" xfId="1" applyNumberFormat="1" applyFont="1" applyFill="1" applyBorder="1" applyAlignment="1">
      <alignment vertical="center"/>
    </xf>
    <xf numFmtId="3" fontId="23" fillId="19" borderId="20" xfId="0" applyNumberFormat="1" applyFont="1" applyFill="1" applyBorder="1" applyAlignment="1" applyProtection="1">
      <alignment vertical="center"/>
      <protection locked="0"/>
    </xf>
    <xf numFmtId="9" fontId="23" fillId="18" borderId="44" xfId="0" applyNumberFormat="1" applyFont="1" applyFill="1" applyBorder="1"/>
    <xf numFmtId="1" fontId="25" fillId="18" borderId="20" xfId="1" applyNumberFormat="1" applyFont="1" applyFill="1" applyBorder="1" applyAlignment="1">
      <alignment vertical="center" wrapText="1"/>
    </xf>
    <xf numFmtId="0" fontId="28" fillId="0" borderId="20" xfId="1" applyFont="1" applyFill="1" applyBorder="1" applyAlignment="1">
      <alignment horizontal="center"/>
    </xf>
    <xf numFmtId="1" fontId="23" fillId="3" borderId="62" xfId="1" applyNumberFormat="1" applyFont="1" applyFill="1" applyBorder="1" applyAlignment="1">
      <alignment vertical="center"/>
    </xf>
    <xf numFmtId="2" fontId="22" fillId="19" borderId="20" xfId="0" applyNumberFormat="1" applyFont="1" applyFill="1" applyBorder="1" applyAlignment="1">
      <alignment vertical="center"/>
    </xf>
    <xf numFmtId="3" fontId="22" fillId="19" borderId="20" xfId="0" applyNumberFormat="1" applyFont="1" applyFill="1" applyBorder="1" applyAlignment="1">
      <alignment horizontal="right" vertical="center" indent="1"/>
    </xf>
    <xf numFmtId="0" fontId="23" fillId="19" borderId="20" xfId="1" applyFont="1" applyFill="1" applyBorder="1" applyAlignment="1">
      <alignment horizontal="right" vertical="center" indent="1"/>
    </xf>
    <xf numFmtId="9" fontId="23" fillId="19" borderId="20" xfId="1" applyNumberFormat="1" applyFont="1" applyFill="1" applyBorder="1" applyAlignment="1">
      <alignment horizontal="right" vertical="center" indent="1"/>
    </xf>
    <xf numFmtId="0" fontId="22" fillId="19" borderId="20" xfId="1" applyFont="1" applyFill="1" applyBorder="1" applyAlignment="1">
      <alignment horizontal="right" vertical="center" indent="1"/>
    </xf>
    <xf numFmtId="1" fontId="22" fillId="18" borderId="20" xfId="1" applyNumberFormat="1" applyFont="1" applyFill="1" applyBorder="1" applyAlignment="1">
      <alignment vertical="center"/>
    </xf>
    <xf numFmtId="0" fontId="24" fillId="19" borderId="20" xfId="1" applyFont="1" applyFill="1" applyBorder="1" applyAlignment="1">
      <alignment vertical="center"/>
    </xf>
    <xf numFmtId="3" fontId="23" fillId="19" borderId="20" xfId="0" applyNumberFormat="1" applyFont="1" applyFill="1" applyBorder="1" applyAlignment="1">
      <alignment vertical="center"/>
    </xf>
    <xf numFmtId="3" fontId="22" fillId="19" borderId="20" xfId="0" applyNumberFormat="1" applyFont="1" applyFill="1" applyBorder="1" applyAlignment="1" applyProtection="1">
      <alignment horizontal="right" vertical="center" indent="1"/>
      <protection locked="0"/>
    </xf>
    <xf numFmtId="0" fontId="23" fillId="18" borderId="20" xfId="0" applyFont="1" applyFill="1" applyBorder="1"/>
    <xf numFmtId="9" fontId="25" fillId="18" borderId="44" xfId="1" applyNumberFormat="1" applyFont="1" applyFill="1" applyBorder="1" applyAlignment="1">
      <alignment vertical="center" wrapText="1"/>
    </xf>
    <xf numFmtId="0" fontId="21" fillId="2" borderId="20" xfId="4" applyFont="1" applyFill="1" applyBorder="1" applyAlignment="1" applyProtection="1">
      <alignment vertical="center"/>
      <protection locked="0"/>
    </xf>
    <xf numFmtId="1" fontId="10" fillId="3" borderId="20" xfId="1" applyNumberFormat="1" applyFont="1" applyFill="1" applyBorder="1" applyAlignment="1">
      <alignment vertical="center"/>
    </xf>
    <xf numFmtId="9" fontId="23" fillId="3" borderId="44" xfId="1" applyNumberFormat="1" applyFont="1" applyFill="1" applyBorder="1" applyAlignment="1">
      <alignment vertical="center"/>
    </xf>
    <xf numFmtId="1" fontId="30" fillId="3" borderId="20" xfId="1" applyNumberFormat="1" applyFont="1" applyFill="1" applyBorder="1" applyAlignment="1">
      <alignment vertical="center"/>
    </xf>
    <xf numFmtId="9" fontId="30" fillId="3" borderId="20" xfId="1" applyNumberFormat="1" applyFont="1" applyFill="1" applyBorder="1" applyAlignment="1">
      <alignment vertical="center"/>
    </xf>
    <xf numFmtId="0" fontId="21" fillId="18" borderId="20" xfId="4" applyFont="1" applyFill="1" applyBorder="1" applyAlignment="1" applyProtection="1">
      <alignment vertical="center"/>
      <protection locked="0"/>
    </xf>
    <xf numFmtId="1" fontId="10" fillId="19" borderId="20" xfId="1" applyNumberFormat="1" applyFont="1" applyFill="1" applyBorder="1" applyAlignment="1">
      <alignment vertical="center"/>
    </xf>
    <xf numFmtId="9" fontId="23" fillId="19" borderId="44" xfId="1" applyNumberFormat="1" applyFont="1" applyFill="1" applyBorder="1" applyAlignment="1">
      <alignment vertical="center"/>
    </xf>
    <xf numFmtId="0" fontId="21" fillId="6" borderId="27" xfId="4" applyFont="1" applyFill="1" applyBorder="1" applyAlignment="1" applyProtection="1">
      <alignment horizontal="center" vertical="center"/>
      <protection locked="0"/>
    </xf>
    <xf numFmtId="0" fontId="21" fillId="20" borderId="27" xfId="4" applyFont="1" applyFill="1" applyBorder="1" applyAlignment="1" applyProtection="1">
      <alignment horizontal="center" vertical="center"/>
      <protection locked="0"/>
    </xf>
    <xf numFmtId="3" fontId="22" fillId="20" borderId="27" xfId="4" applyNumberFormat="1" applyFont="1" applyFill="1" applyBorder="1" applyAlignment="1" applyProtection="1">
      <alignment horizontal="right"/>
      <protection locked="0"/>
    </xf>
    <xf numFmtId="164" fontId="22" fillId="20" borderId="27" xfId="4" applyNumberFormat="1" applyFont="1" applyFill="1" applyBorder="1" applyAlignment="1" applyProtection="1">
      <alignment horizontal="right"/>
      <protection locked="0"/>
    </xf>
    <xf numFmtId="3" fontId="22" fillId="20" borderId="27" xfId="4" applyNumberFormat="1" applyFont="1" applyFill="1" applyBorder="1" applyAlignment="1">
      <alignment horizontal="right"/>
    </xf>
    <xf numFmtId="3" fontId="22" fillId="20" borderId="27" xfId="4" applyNumberFormat="1" applyFont="1" applyFill="1" applyBorder="1" applyAlignment="1"/>
    <xf numFmtId="1" fontId="23" fillId="20" borderId="27" xfId="1" applyNumberFormat="1" applyFont="1" applyFill="1" applyBorder="1" applyAlignment="1">
      <alignment vertical="center"/>
    </xf>
    <xf numFmtId="9" fontId="23" fillId="20" borderId="27" xfId="1" applyNumberFormat="1" applyFont="1" applyFill="1" applyBorder="1" applyAlignment="1">
      <alignment vertical="center"/>
    </xf>
    <xf numFmtId="1" fontId="10" fillId="20" borderId="27" xfId="1" applyNumberFormat="1" applyFont="1" applyFill="1" applyBorder="1" applyAlignment="1">
      <alignment horizontal="right" vertical="center" indent="1"/>
    </xf>
    <xf numFmtId="0" fontId="7" fillId="20" borderId="27" xfId="1" applyFont="1" applyFill="1" applyBorder="1" applyAlignment="1">
      <alignment horizontal="right" vertical="center" indent="1"/>
    </xf>
    <xf numFmtId="167" fontId="22" fillId="20" borderId="27" xfId="4" applyNumberFormat="1" applyFont="1" applyFill="1" applyBorder="1"/>
    <xf numFmtId="3" fontId="22" fillId="20" borderId="27" xfId="1" applyNumberFormat="1" applyFont="1" applyFill="1" applyBorder="1" applyAlignment="1">
      <alignment vertical="center" wrapText="1"/>
    </xf>
    <xf numFmtId="9" fontId="23" fillId="20" borderId="27" xfId="1" applyNumberFormat="1" applyFont="1" applyFill="1" applyBorder="1" applyAlignment="1">
      <alignment vertical="center" wrapText="1"/>
    </xf>
    <xf numFmtId="9" fontId="10" fillId="20" borderId="27" xfId="1" applyNumberFormat="1" applyFont="1" applyFill="1" applyBorder="1" applyAlignment="1">
      <alignment horizontal="right" vertical="center" wrapText="1" indent="1"/>
    </xf>
    <xf numFmtId="1" fontId="30" fillId="20" borderId="27" xfId="1" applyNumberFormat="1" applyFont="1" applyFill="1" applyBorder="1" applyAlignment="1">
      <alignment vertical="center"/>
    </xf>
    <xf numFmtId="9" fontId="30" fillId="20" borderId="27" xfId="1" applyNumberFormat="1" applyFont="1" applyFill="1" applyBorder="1" applyAlignment="1">
      <alignment vertical="center"/>
    </xf>
    <xf numFmtId="3" fontId="10" fillId="20" borderId="27" xfId="1" applyNumberFormat="1" applyFont="1" applyFill="1" applyBorder="1" applyAlignment="1">
      <alignment vertical="center" wrapText="1"/>
    </xf>
    <xf numFmtId="1" fontId="23" fillId="20" borderId="27" xfId="1" applyNumberFormat="1" applyFont="1" applyFill="1" applyBorder="1" applyAlignment="1">
      <alignment horizontal="right" vertical="center" indent="1"/>
    </xf>
    <xf numFmtId="1" fontId="23" fillId="20" borderId="60" xfId="1" applyNumberFormat="1" applyFont="1" applyFill="1" applyBorder="1" applyAlignment="1">
      <alignment horizontal="right" vertical="center" indent="1"/>
    </xf>
    <xf numFmtId="0" fontId="30" fillId="2" borderId="1" xfId="4" applyFont="1" applyFill="1" applyBorder="1" applyProtection="1">
      <protection locked="0"/>
    </xf>
    <xf numFmtId="0" fontId="37" fillId="2" borderId="1" xfId="2" applyFont="1" applyFill="1" applyBorder="1" applyAlignment="1" applyProtection="1">
      <alignment horizontal="left"/>
      <protection locked="0"/>
    </xf>
    <xf numFmtId="0" fontId="21" fillId="18" borderId="27" xfId="4" applyFont="1" applyFill="1" applyBorder="1" applyAlignment="1" applyProtection="1">
      <alignment horizontal="center" vertical="center"/>
      <protection locked="0"/>
    </xf>
    <xf numFmtId="3" fontId="22" fillId="18" borderId="27" xfId="4" applyNumberFormat="1" applyFont="1" applyFill="1" applyBorder="1" applyAlignment="1" applyProtection="1">
      <alignment horizontal="right"/>
      <protection locked="0"/>
    </xf>
    <xf numFmtId="164" fontId="22" fillId="18" borderId="27" xfId="4" applyNumberFormat="1" applyFont="1" applyFill="1" applyBorder="1" applyAlignment="1" applyProtection="1">
      <alignment horizontal="right"/>
      <protection locked="0"/>
    </xf>
    <xf numFmtId="3" fontId="22" fillId="18" borderId="27" xfId="4" applyNumberFormat="1" applyFont="1" applyFill="1" applyBorder="1" applyAlignment="1">
      <alignment horizontal="right"/>
    </xf>
    <xf numFmtId="3" fontId="22" fillId="18" borderId="27" xfId="4" applyNumberFormat="1" applyFont="1" applyFill="1" applyBorder="1" applyAlignment="1"/>
    <xf numFmtId="1" fontId="23" fillId="19" borderId="27" xfId="1" applyNumberFormat="1" applyFont="1" applyFill="1" applyBorder="1" applyAlignment="1">
      <alignment vertical="center"/>
    </xf>
    <xf numFmtId="9" fontId="23" fillId="19" borderId="27" xfId="1" applyNumberFormat="1" applyFont="1" applyFill="1" applyBorder="1" applyAlignment="1">
      <alignment vertical="center"/>
    </xf>
    <xf numFmtId="1" fontId="10" fillId="19" borderId="27" xfId="1" applyNumberFormat="1" applyFont="1" applyFill="1" applyBorder="1" applyAlignment="1">
      <alignment horizontal="right" vertical="center" indent="1"/>
    </xf>
    <xf numFmtId="0" fontId="7" fillId="19" borderId="27" xfId="1" applyFont="1" applyFill="1" applyBorder="1" applyAlignment="1">
      <alignment horizontal="right" vertical="center" indent="1"/>
    </xf>
    <xf numFmtId="167" fontId="22" fillId="18" borderId="27" xfId="4" applyNumberFormat="1" applyFont="1" applyFill="1" applyBorder="1"/>
    <xf numFmtId="3" fontId="22" fillId="19" borderId="27" xfId="1" applyNumberFormat="1" applyFont="1" applyFill="1" applyBorder="1" applyAlignment="1">
      <alignment vertical="center" wrapText="1"/>
    </xf>
    <xf numFmtId="9" fontId="23" fillId="19" borderId="27" xfId="1" applyNumberFormat="1" applyFont="1" applyFill="1" applyBorder="1" applyAlignment="1">
      <alignment vertical="center" wrapText="1"/>
    </xf>
    <xf numFmtId="9" fontId="10" fillId="19" borderId="27" xfId="1" applyNumberFormat="1" applyFont="1" applyFill="1" applyBorder="1" applyAlignment="1">
      <alignment horizontal="right" vertical="center" wrapText="1" indent="1"/>
    </xf>
    <xf numFmtId="0" fontId="23" fillId="19" borderId="27" xfId="1" applyFont="1" applyFill="1" applyBorder="1" applyAlignment="1">
      <alignment vertical="center"/>
    </xf>
    <xf numFmtId="3" fontId="10" fillId="19" borderId="27" xfId="1" applyNumberFormat="1" applyFont="1" applyFill="1" applyBorder="1" applyAlignment="1">
      <alignment vertical="center" wrapText="1"/>
    </xf>
    <xf numFmtId="1" fontId="23" fillId="19" borderId="27" xfId="1" applyNumberFormat="1" applyFont="1" applyFill="1" applyBorder="1" applyAlignment="1">
      <alignment horizontal="right" vertical="center" indent="1"/>
    </xf>
    <xf numFmtId="1" fontId="23" fillId="19" borderId="60" xfId="1" applyNumberFormat="1" applyFont="1" applyFill="1" applyBorder="1" applyAlignment="1">
      <alignment horizontal="right" vertical="center" indent="1"/>
    </xf>
    <xf numFmtId="0" fontId="28" fillId="2" borderId="20" xfId="1" applyFont="1" applyFill="1" applyBorder="1" applyAlignment="1">
      <alignment horizontal="center"/>
    </xf>
    <xf numFmtId="0" fontId="28" fillId="2" borderId="20" xfId="1" applyFont="1" applyFill="1" applyBorder="1"/>
    <xf numFmtId="0" fontId="21" fillId="2" borderId="20" xfId="4" applyFont="1" applyFill="1" applyBorder="1" applyAlignment="1" applyProtection="1">
      <alignment horizontal="right" vertical="center"/>
      <protection locked="0"/>
    </xf>
    <xf numFmtId="3" fontId="22" fillId="2" borderId="20" xfId="4" applyNumberFormat="1" applyFont="1" applyFill="1" applyBorder="1" applyAlignment="1" applyProtection="1">
      <alignment horizontal="right"/>
      <protection locked="0"/>
    </xf>
    <xf numFmtId="3" fontId="22" fillId="2" borderId="20" xfId="4" applyNumberFormat="1" applyFont="1" applyFill="1" applyBorder="1" applyAlignment="1">
      <alignment horizontal="right"/>
    </xf>
    <xf numFmtId="0" fontId="0" fillId="2" borderId="20" xfId="0" applyFill="1" applyBorder="1" applyAlignment="1">
      <alignment horizontal="right"/>
    </xf>
    <xf numFmtId="3" fontId="23" fillId="3" borderId="20" xfId="0" applyNumberFormat="1" applyFont="1" applyFill="1" applyBorder="1" applyAlignment="1">
      <alignment vertical="center"/>
    </xf>
    <xf numFmtId="9" fontId="23" fillId="3" borderId="20" xfId="0" applyNumberFormat="1" applyFont="1" applyFill="1" applyBorder="1" applyAlignment="1">
      <alignment vertical="center"/>
    </xf>
    <xf numFmtId="3" fontId="23" fillId="3" borderId="20" xfId="0" applyNumberFormat="1" applyFont="1" applyFill="1" applyBorder="1" applyAlignment="1">
      <alignment horizontal="right" vertical="center" indent="1"/>
    </xf>
    <xf numFmtId="3" fontId="22" fillId="2" borderId="20" xfId="1" applyNumberFormat="1" applyFont="1" applyFill="1" applyBorder="1" applyAlignment="1">
      <alignment vertical="center" wrapText="1"/>
    </xf>
    <xf numFmtId="9" fontId="23" fillId="3" borderId="20" xfId="1" applyNumberFormat="1" applyFont="1" applyFill="1" applyBorder="1" applyAlignment="1">
      <alignment vertical="center" wrapText="1"/>
    </xf>
    <xf numFmtId="0" fontId="23" fillId="3" borderId="20" xfId="1" applyFont="1" applyFill="1" applyBorder="1" applyAlignment="1">
      <alignment horizontal="right" vertical="center" wrapText="1" indent="1"/>
    </xf>
    <xf numFmtId="0" fontId="23" fillId="3" borderId="20" xfId="1" applyFont="1" applyFill="1" applyBorder="1" applyAlignment="1">
      <alignment vertical="center"/>
    </xf>
    <xf numFmtId="1" fontId="23" fillId="3" borderId="44" xfId="1" applyNumberFormat="1" applyFont="1" applyFill="1" applyBorder="1" applyAlignment="1">
      <alignment horizontal="right" vertical="center" indent="1"/>
    </xf>
    <xf numFmtId="3" fontId="22" fillId="18" borderId="20" xfId="4" applyNumberFormat="1" applyFont="1" applyFill="1" applyBorder="1" applyAlignment="1" applyProtection="1">
      <alignment horizontal="right"/>
      <protection locked="0"/>
    </xf>
    <xf numFmtId="164" fontId="22" fillId="18" borderId="20" xfId="4" applyNumberFormat="1" applyFont="1" applyFill="1" applyBorder="1" applyAlignment="1" applyProtection="1">
      <alignment horizontal="right"/>
      <protection locked="0"/>
    </xf>
    <xf numFmtId="3" fontId="22" fillId="18" borderId="20" xfId="4" applyNumberFormat="1" applyFont="1" applyFill="1" applyBorder="1" applyAlignment="1">
      <alignment horizontal="right"/>
    </xf>
    <xf numFmtId="0" fontId="0" fillId="18" borderId="20" xfId="0" applyFill="1" applyBorder="1" applyAlignment="1">
      <alignment horizontal="right"/>
    </xf>
    <xf numFmtId="9" fontId="23" fillId="19" borderId="20" xfId="0" applyNumberFormat="1" applyFont="1" applyFill="1" applyBorder="1" applyAlignment="1">
      <alignment vertical="center"/>
    </xf>
    <xf numFmtId="3" fontId="23" fillId="19" borderId="20" xfId="0" applyNumberFormat="1" applyFont="1" applyFill="1" applyBorder="1" applyAlignment="1">
      <alignment horizontal="right" vertical="center" indent="1"/>
    </xf>
    <xf numFmtId="3" fontId="22" fillId="18" borderId="20" xfId="1" applyNumberFormat="1" applyFont="1" applyFill="1" applyBorder="1" applyAlignment="1">
      <alignment vertical="center" wrapText="1"/>
    </xf>
    <xf numFmtId="9" fontId="23" fillId="19" borderId="20" xfId="1" applyNumberFormat="1" applyFont="1" applyFill="1" applyBorder="1" applyAlignment="1">
      <alignment vertical="center" wrapText="1"/>
    </xf>
    <xf numFmtId="0" fontId="23" fillId="19" borderId="20" xfId="1" applyFont="1" applyFill="1" applyBorder="1" applyAlignment="1">
      <alignment horizontal="right" vertical="center" wrapText="1" indent="1"/>
    </xf>
    <xf numFmtId="0" fontId="23" fillId="19" borderId="20" xfId="1" applyFont="1" applyFill="1" applyBorder="1" applyAlignment="1">
      <alignment vertical="center"/>
    </xf>
    <xf numFmtId="1" fontId="23" fillId="19" borderId="20" xfId="1" applyNumberFormat="1" applyFont="1" applyFill="1" applyBorder="1" applyAlignment="1">
      <alignment horizontal="right" vertical="center" indent="1"/>
    </xf>
    <xf numFmtId="1" fontId="23" fillId="19" borderId="44" xfId="1" applyNumberFormat="1" applyFont="1" applyFill="1" applyBorder="1" applyAlignment="1">
      <alignment horizontal="right" vertical="center" indent="1"/>
    </xf>
    <xf numFmtId="0" fontId="37" fillId="2" borderId="18" xfId="2" applyFont="1" applyFill="1" applyBorder="1" applyAlignment="1" applyProtection="1">
      <alignment horizontal="left"/>
      <protection locked="0"/>
    </xf>
    <xf numFmtId="0" fontId="30" fillId="2" borderId="51" xfId="4" applyFont="1" applyFill="1" applyBorder="1" applyProtection="1">
      <protection locked="0"/>
    </xf>
    <xf numFmtId="0" fontId="37" fillId="2" borderId="51" xfId="2" applyFont="1" applyFill="1" applyBorder="1" applyAlignment="1" applyProtection="1">
      <alignment horizontal="left"/>
      <protection locked="0"/>
    </xf>
    <xf numFmtId="0" fontId="30" fillId="2" borderId="18" xfId="4" applyFont="1" applyFill="1" applyBorder="1" applyProtection="1">
      <protection locked="0"/>
    </xf>
    <xf numFmtId="0" fontId="9" fillId="0" borderId="20" xfId="1" applyFont="1" applyFill="1" applyBorder="1" applyAlignment="1">
      <alignment horizontal="center"/>
    </xf>
    <xf numFmtId="0" fontId="3" fillId="6" borderId="19" xfId="4" applyFont="1" applyFill="1" applyBorder="1" applyAlignment="1" applyProtection="1">
      <alignment horizontal="center" vertical="center"/>
      <protection locked="0"/>
    </xf>
    <xf numFmtId="0" fontId="3" fillId="6" borderId="18" xfId="4" applyFont="1" applyFill="1" applyBorder="1" applyAlignment="1" applyProtection="1">
      <alignment horizontal="center" vertical="center"/>
      <protection locked="0"/>
    </xf>
    <xf numFmtId="0" fontId="38" fillId="6" borderId="19" xfId="0" applyFont="1" applyFill="1" applyBorder="1"/>
    <xf numFmtId="0" fontId="3" fillId="6" borderId="20" xfId="4" applyFont="1" applyFill="1" applyBorder="1" applyAlignment="1" applyProtection="1">
      <alignment horizontal="center" vertical="center"/>
      <protection locked="0"/>
    </xf>
    <xf numFmtId="2" fontId="5" fillId="0" borderId="0" xfId="0" applyNumberFormat="1" applyFont="1" applyFill="1"/>
    <xf numFmtId="3" fontId="30" fillId="17" borderId="20" xfId="1" applyNumberFormat="1" applyFont="1" applyFill="1" applyBorder="1" applyAlignment="1">
      <alignment vertical="center"/>
    </xf>
    <xf numFmtId="0" fontId="34" fillId="2" borderId="9" xfId="4" applyFont="1" applyFill="1" applyBorder="1" applyProtection="1">
      <protection locked="0"/>
    </xf>
    <xf numFmtId="0" fontId="3" fillId="16" borderId="20" xfId="4" applyFont="1" applyFill="1" applyBorder="1" applyAlignment="1" applyProtection="1">
      <alignment horizontal="center" vertical="center"/>
      <protection locked="0"/>
    </xf>
    <xf numFmtId="165" fontId="22" fillId="3" borderId="19" xfId="0" applyNumberFormat="1" applyFont="1" applyFill="1" applyBorder="1" applyAlignment="1">
      <alignment vertical="center"/>
    </xf>
    <xf numFmtId="165" fontId="22" fillId="3" borderId="19" xfId="0" applyNumberFormat="1" applyFont="1" applyFill="1" applyBorder="1" applyAlignment="1">
      <alignment horizontal="right" vertical="center" indent="1"/>
    </xf>
    <xf numFmtId="0" fontId="3" fillId="18" borderId="20" xfId="4" applyFont="1" applyFill="1" applyBorder="1" applyAlignment="1" applyProtection="1">
      <alignment horizontal="center" vertical="center"/>
      <protection locked="0"/>
    </xf>
    <xf numFmtId="164" fontId="22" fillId="17" borderId="20" xfId="0" applyNumberFormat="1" applyFont="1" applyFill="1" applyBorder="1" applyAlignment="1">
      <alignment vertical="center"/>
    </xf>
    <xf numFmtId="0" fontId="3" fillId="6" borderId="29" xfId="4" applyFont="1" applyFill="1" applyBorder="1" applyAlignment="1" applyProtection="1">
      <alignment horizontal="center" vertical="center"/>
      <protection locked="0"/>
    </xf>
    <xf numFmtId="0" fontId="3" fillId="6" borderId="26" xfId="4" applyFont="1" applyFill="1" applyBorder="1" applyAlignment="1" applyProtection="1">
      <alignment horizontal="center" vertical="center"/>
      <protection locked="0"/>
    </xf>
    <xf numFmtId="0" fontId="3" fillId="16" borderId="27" xfId="4" applyFont="1" applyFill="1" applyBorder="1" applyAlignment="1" applyProtection="1">
      <alignment horizontal="center" vertical="center"/>
      <protection locked="0"/>
    </xf>
    <xf numFmtId="0" fontId="30" fillId="0" borderId="51" xfId="4" applyFont="1" applyFill="1" applyBorder="1" applyProtection="1">
      <protection locked="0"/>
    </xf>
    <xf numFmtId="0" fontId="37" fillId="0" borderId="51" xfId="2" applyFont="1" applyFill="1" applyBorder="1" applyProtection="1">
      <protection locked="0"/>
    </xf>
    <xf numFmtId="0" fontId="37" fillId="2" borderId="18" xfId="2" applyFont="1" applyFill="1" applyBorder="1" applyProtection="1">
      <protection locked="0"/>
    </xf>
    <xf numFmtId="1" fontId="30" fillId="2" borderId="24" xfId="1" applyNumberFormat="1" applyFont="1" applyFill="1" applyBorder="1" applyAlignment="1">
      <alignment vertical="center"/>
    </xf>
    <xf numFmtId="0" fontId="37" fillId="2" borderId="1" xfId="2" applyFont="1" applyFill="1" applyBorder="1" applyProtection="1">
      <protection locked="0"/>
    </xf>
    <xf numFmtId="1" fontId="30" fillId="3" borderId="29" xfId="1" applyNumberFormat="1" applyFont="1" applyFill="1" applyBorder="1" applyAlignment="1">
      <alignment vertical="center"/>
    </xf>
    <xf numFmtId="9" fontId="30" fillId="3" borderId="29" xfId="1" applyNumberFormat="1" applyFont="1" applyFill="1" applyBorder="1" applyAlignment="1">
      <alignment vertical="center"/>
    </xf>
    <xf numFmtId="0" fontId="3" fillId="18" borderId="27" xfId="4" applyFont="1" applyFill="1" applyBorder="1" applyAlignment="1" applyProtection="1">
      <alignment horizontal="center" vertical="center"/>
      <protection locked="0"/>
    </xf>
    <xf numFmtId="1" fontId="30" fillId="3" borderId="18" xfId="1" applyNumberFormat="1" applyFont="1" applyFill="1" applyBorder="1" applyAlignment="1">
      <alignment vertical="center"/>
    </xf>
    <xf numFmtId="3" fontId="30" fillId="3" borderId="19" xfId="0" applyNumberFormat="1" applyFont="1" applyFill="1" applyBorder="1" applyAlignment="1">
      <alignment vertical="center"/>
    </xf>
    <xf numFmtId="1" fontId="30" fillId="11" borderId="19" xfId="1" applyNumberFormat="1" applyFont="1" applyFill="1" applyBorder="1" applyAlignment="1">
      <alignment horizontal="right" vertical="center" indent="1"/>
    </xf>
    <xf numFmtId="3" fontId="30" fillId="3" borderId="19" xfId="0" applyNumberFormat="1" applyFont="1" applyFill="1" applyBorder="1" applyAlignment="1">
      <alignment horizontal="right" vertical="center" indent="1"/>
    </xf>
    <xf numFmtId="3" fontId="30" fillId="3" borderId="20" xfId="0" applyNumberFormat="1" applyFont="1" applyFill="1" applyBorder="1" applyAlignment="1">
      <alignment vertical="center"/>
    </xf>
    <xf numFmtId="3" fontId="30" fillId="17" borderId="20" xfId="0" applyNumberFormat="1" applyFont="1" applyFill="1" applyBorder="1" applyAlignment="1">
      <alignment vertical="center"/>
    </xf>
    <xf numFmtId="9" fontId="30" fillId="3" borderId="18" xfId="1" applyNumberFormat="1" applyFont="1" applyFill="1" applyBorder="1" applyAlignment="1">
      <alignment vertical="center"/>
    </xf>
    <xf numFmtId="9" fontId="30" fillId="3" borderId="19" xfId="0" applyNumberFormat="1" applyFont="1" applyFill="1" applyBorder="1" applyAlignment="1">
      <alignment vertical="center"/>
    </xf>
    <xf numFmtId="9" fontId="30" fillId="11" borderId="19" xfId="1" applyNumberFormat="1" applyFont="1" applyFill="1" applyBorder="1" applyAlignment="1">
      <alignment horizontal="right" vertical="center" indent="1"/>
    </xf>
    <xf numFmtId="9" fontId="30" fillId="3" borderId="19" xfId="0" applyNumberFormat="1" applyFont="1" applyFill="1" applyBorder="1" applyAlignment="1">
      <alignment horizontal="right" vertical="center" indent="1"/>
    </xf>
    <xf numFmtId="9" fontId="30" fillId="3" borderId="20" xfId="0" applyNumberFormat="1" applyFont="1" applyFill="1" applyBorder="1" applyAlignment="1">
      <alignment vertical="center"/>
    </xf>
    <xf numFmtId="9" fontId="30" fillId="17" borderId="20" xfId="0" applyNumberFormat="1" applyFont="1" applyFill="1" applyBorder="1" applyAlignment="1">
      <alignment vertical="center"/>
    </xf>
    <xf numFmtId="0" fontId="3" fillId="21" borderId="20" xfId="4" applyFont="1" applyFill="1" applyBorder="1" applyAlignment="1" applyProtection="1">
      <alignment horizontal="center" vertical="center"/>
      <protection locked="0"/>
    </xf>
    <xf numFmtId="3" fontId="22" fillId="22" borderId="20" xfId="0" applyNumberFormat="1" applyFont="1" applyFill="1" applyBorder="1" applyAlignment="1">
      <alignment vertical="center"/>
    </xf>
    <xf numFmtId="0" fontId="3" fillId="2" borderId="19" xfId="1" applyFont="1" applyFill="1" applyBorder="1" applyAlignment="1">
      <alignment horizontal="center"/>
    </xf>
    <xf numFmtId="0" fontId="3" fillId="0" borderId="20" xfId="4" applyFont="1" applyFill="1" applyBorder="1" applyAlignment="1" applyProtection="1">
      <alignment horizontal="center" vertical="center"/>
      <protection locked="0"/>
    </xf>
    <xf numFmtId="0" fontId="3" fillId="16" borderId="20" xfId="1" applyFont="1" applyFill="1" applyBorder="1" applyAlignment="1">
      <alignment horizontal="center"/>
    </xf>
    <xf numFmtId="0" fontId="3" fillId="18" borderId="20" xfId="1" applyFont="1" applyFill="1" applyBorder="1" applyAlignment="1">
      <alignment horizontal="center"/>
    </xf>
    <xf numFmtId="0" fontId="3" fillId="21" borderId="27" xfId="4" applyFont="1" applyFill="1" applyBorder="1" applyAlignment="1" applyProtection="1">
      <alignment horizontal="center" vertical="center"/>
      <protection locked="0"/>
    </xf>
    <xf numFmtId="0" fontId="3" fillId="0" borderId="27" xfId="4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9" fontId="36" fillId="0" borderId="0" xfId="0" applyNumberFormat="1" applyFont="1"/>
    <xf numFmtId="3" fontId="0" fillId="0" borderId="0" xfId="0" applyNumberFormat="1"/>
    <xf numFmtId="165" fontId="22" fillId="19" borderId="20" xfId="0" applyNumberFormat="1" applyFont="1" applyFill="1" applyBorder="1" applyAlignment="1">
      <alignment vertical="center"/>
    </xf>
    <xf numFmtId="3" fontId="23" fillId="23" borderId="20" xfId="1" applyNumberFormat="1" applyFont="1" applyFill="1" applyBorder="1" applyAlignment="1">
      <alignment vertical="center"/>
    </xf>
    <xf numFmtId="1" fontId="22" fillId="23" borderId="20" xfId="1" applyNumberFormat="1" applyFont="1" applyFill="1" applyBorder="1" applyAlignment="1">
      <alignment vertical="center"/>
    </xf>
    <xf numFmtId="1" fontId="23" fillId="24" borderId="20" xfId="1" applyNumberFormat="1" applyFont="1" applyFill="1" applyBorder="1" applyAlignment="1">
      <alignment vertical="center"/>
    </xf>
    <xf numFmtId="0" fontId="22" fillId="24" borderId="51" xfId="4" applyFont="1" applyFill="1" applyBorder="1" applyAlignment="1" applyProtection="1">
      <alignment horizontal="center"/>
      <protection locked="0"/>
    </xf>
    <xf numFmtId="0" fontId="25" fillId="24" borderId="51" xfId="1" applyFont="1" applyFill="1" applyBorder="1" applyAlignment="1">
      <alignment horizontal="left" vertical="center" wrapText="1" indent="1"/>
    </xf>
    <xf numFmtId="0" fontId="23" fillId="24" borderId="18" xfId="4" applyFont="1" applyFill="1" applyBorder="1" applyProtection="1">
      <protection locked="0"/>
    </xf>
    <xf numFmtId="165" fontId="22" fillId="3" borderId="20" xfId="0" applyNumberFormat="1" applyFont="1" applyFill="1" applyBorder="1" applyAlignment="1">
      <alignment horizontal="right" vertical="center" indent="1"/>
    </xf>
    <xf numFmtId="165" fontId="22" fillId="3" borderId="1" xfId="0" applyNumberFormat="1" applyFont="1" applyFill="1" applyBorder="1" applyAlignment="1">
      <alignment vertical="center"/>
    </xf>
    <xf numFmtId="165" fontId="22" fillId="3" borderId="10" xfId="0" applyNumberFormat="1" applyFont="1" applyFill="1" applyBorder="1" applyAlignment="1">
      <alignment vertical="center"/>
    </xf>
    <xf numFmtId="165" fontId="22" fillId="3" borderId="45" xfId="0" applyNumberFormat="1" applyFont="1" applyFill="1" applyBorder="1" applyAlignment="1">
      <alignment vertical="center"/>
    </xf>
    <xf numFmtId="3" fontId="23" fillId="25" borderId="20" xfId="1" applyNumberFormat="1" applyFont="1" applyFill="1" applyBorder="1" applyAlignment="1">
      <alignment vertical="center"/>
    </xf>
    <xf numFmtId="165" fontId="22" fillId="19" borderId="63" xfId="0" applyNumberFormat="1" applyFont="1" applyFill="1" applyBorder="1" applyAlignment="1">
      <alignment vertical="center"/>
    </xf>
    <xf numFmtId="1" fontId="3" fillId="3" borderId="20" xfId="1" applyNumberFormat="1" applyFont="1" applyFill="1" applyBorder="1" applyAlignment="1">
      <alignment horizontal="center"/>
    </xf>
    <xf numFmtId="1" fontId="23" fillId="3" borderId="20" xfId="1" applyNumberFormat="1" applyFont="1" applyFill="1" applyBorder="1"/>
    <xf numFmtId="1" fontId="22" fillId="10" borderId="20" xfId="1" applyNumberFormat="1" applyFont="1" applyFill="1" applyBorder="1"/>
    <xf numFmtId="165" fontId="22" fillId="17" borderId="19" xfId="0" applyNumberFormat="1" applyFont="1" applyFill="1" applyBorder="1" applyAlignment="1">
      <alignment vertical="center"/>
    </xf>
    <xf numFmtId="2" fontId="22" fillId="17" borderId="20" xfId="0" applyNumberFormat="1" applyFont="1" applyFill="1" applyBorder="1" applyAlignment="1">
      <alignment vertical="center"/>
    </xf>
    <xf numFmtId="3" fontId="23" fillId="17" borderId="20" xfId="1" applyNumberFormat="1" applyFont="1" applyFill="1" applyBorder="1" applyAlignment="1">
      <alignment horizontal="right" vertical="center" indent="1"/>
    </xf>
    <xf numFmtId="1" fontId="23" fillId="22" borderId="19" xfId="1" applyNumberFormat="1" applyFont="1" applyFill="1" applyBorder="1" applyAlignment="1">
      <alignment vertical="center"/>
    </xf>
    <xf numFmtId="9" fontId="23" fillId="22" borderId="19" xfId="1" applyNumberFormat="1" applyFont="1" applyFill="1" applyBorder="1" applyAlignment="1">
      <alignment vertical="center"/>
    </xf>
    <xf numFmtId="1" fontId="25" fillId="21" borderId="19" xfId="1" applyNumberFormat="1" applyFont="1" applyFill="1" applyBorder="1" applyAlignment="1">
      <alignment vertical="center" wrapText="1"/>
    </xf>
    <xf numFmtId="3" fontId="23" fillId="22" borderId="19" xfId="1" applyNumberFormat="1" applyFont="1" applyFill="1" applyBorder="1" applyAlignment="1">
      <alignment vertical="center"/>
    </xf>
    <xf numFmtId="0" fontId="3" fillId="21" borderId="19" xfId="4" applyFont="1" applyFill="1" applyBorder="1" applyAlignment="1" applyProtection="1">
      <alignment horizontal="center" vertical="center"/>
      <protection locked="0"/>
    </xf>
    <xf numFmtId="3" fontId="23" fillId="22" borderId="19" xfId="0" applyNumberFormat="1" applyFont="1" applyFill="1" applyBorder="1" applyAlignment="1">
      <alignment vertical="center"/>
    </xf>
    <xf numFmtId="1" fontId="10" fillId="22" borderId="19" xfId="1" applyNumberFormat="1" applyFont="1" applyFill="1" applyBorder="1" applyAlignment="1">
      <alignment vertical="center"/>
    </xf>
    <xf numFmtId="1" fontId="30" fillId="22" borderId="19" xfId="1" applyNumberFormat="1" applyFont="1" applyFill="1" applyBorder="1" applyAlignment="1">
      <alignment vertical="center"/>
    </xf>
    <xf numFmtId="0" fontId="3" fillId="26" borderId="19" xfId="4" applyFont="1" applyFill="1" applyBorder="1" applyAlignment="1" applyProtection="1">
      <alignment horizontal="center" vertical="center"/>
      <protection locked="0"/>
    </xf>
    <xf numFmtId="3" fontId="22" fillId="27" borderId="19" xfId="0" applyNumberFormat="1" applyFont="1" applyFill="1" applyBorder="1" applyAlignment="1">
      <alignment vertical="center"/>
    </xf>
    <xf numFmtId="1" fontId="23" fillId="27" borderId="19" xfId="1" applyNumberFormat="1" applyFont="1" applyFill="1" applyBorder="1" applyAlignment="1">
      <alignment vertical="center"/>
    </xf>
    <xf numFmtId="9" fontId="23" fillId="27" borderId="19" xfId="1" applyNumberFormat="1" applyFont="1" applyFill="1" applyBorder="1" applyAlignment="1">
      <alignment vertical="center"/>
    </xf>
    <xf numFmtId="0" fontId="10" fillId="27" borderId="19" xfId="1" applyFont="1" applyFill="1" applyBorder="1" applyAlignment="1">
      <alignment horizontal="right" vertical="center" indent="1"/>
    </xf>
    <xf numFmtId="9" fontId="30" fillId="27" borderId="19" xfId="1" applyNumberFormat="1" applyFont="1" applyFill="1" applyBorder="1" applyAlignment="1">
      <alignment vertical="center"/>
    </xf>
    <xf numFmtId="9" fontId="10" fillId="27" borderId="19" xfId="1" applyNumberFormat="1" applyFont="1" applyFill="1" applyBorder="1" applyAlignment="1">
      <alignment horizontal="right" vertical="center" indent="1"/>
    </xf>
    <xf numFmtId="0" fontId="7" fillId="27" borderId="19" xfId="1" applyFont="1" applyFill="1" applyBorder="1" applyAlignment="1">
      <alignment horizontal="right" vertical="center" indent="1"/>
    </xf>
    <xf numFmtId="1" fontId="25" fillId="26" borderId="19" xfId="1" applyNumberFormat="1" applyFont="1" applyFill="1" applyBorder="1" applyAlignment="1">
      <alignment vertical="center" wrapText="1"/>
    </xf>
    <xf numFmtId="3" fontId="23" fillId="27" borderId="19" xfId="1" applyNumberFormat="1" applyFont="1" applyFill="1" applyBorder="1" applyAlignment="1">
      <alignment vertical="center"/>
    </xf>
    <xf numFmtId="3" fontId="23" fillId="27" borderId="19" xfId="0" applyNumberFormat="1" applyFont="1" applyFill="1" applyBorder="1" applyAlignment="1" applyProtection="1">
      <alignment vertical="center"/>
      <protection locked="0"/>
    </xf>
    <xf numFmtId="9" fontId="23" fillId="26" borderId="21" xfId="0" applyNumberFormat="1" applyFont="1" applyFill="1" applyBorder="1"/>
    <xf numFmtId="3" fontId="22" fillId="27" borderId="19" xfId="0" applyNumberFormat="1" applyFont="1" applyFill="1" applyBorder="1" applyAlignment="1">
      <alignment horizontal="right" vertical="center" indent="1"/>
    </xf>
    <xf numFmtId="0" fontId="23" fillId="27" borderId="19" xfId="1" applyFont="1" applyFill="1" applyBorder="1" applyAlignment="1">
      <alignment horizontal="right" vertical="center" indent="1"/>
    </xf>
    <xf numFmtId="3" fontId="23" fillId="27" borderId="19" xfId="1" applyNumberFormat="1" applyFont="1" applyFill="1" applyBorder="1" applyAlignment="1">
      <alignment horizontal="right" vertical="center" indent="1"/>
    </xf>
    <xf numFmtId="9" fontId="23" fillId="27" borderId="19" xfId="1" applyNumberFormat="1" applyFont="1" applyFill="1" applyBorder="1" applyAlignment="1">
      <alignment horizontal="right" vertical="center" indent="1"/>
    </xf>
    <xf numFmtId="0" fontId="22" fillId="27" borderId="19" xfId="1" applyFont="1" applyFill="1" applyBorder="1" applyAlignment="1">
      <alignment horizontal="right" vertical="center" indent="1"/>
    </xf>
    <xf numFmtId="1" fontId="22" fillId="26" borderId="19" xfId="1" applyNumberFormat="1" applyFont="1" applyFill="1" applyBorder="1" applyAlignment="1">
      <alignment vertical="center"/>
    </xf>
    <xf numFmtId="0" fontId="24" fillId="27" borderId="19" xfId="1" applyFont="1" applyFill="1" applyBorder="1" applyAlignment="1">
      <alignment vertical="center"/>
    </xf>
    <xf numFmtId="3" fontId="23" fillId="27" borderId="19" xfId="0" applyNumberFormat="1" applyFont="1" applyFill="1" applyBorder="1" applyAlignment="1">
      <alignment vertical="center"/>
    </xf>
    <xf numFmtId="0" fontId="23" fillId="26" borderId="19" xfId="0" applyFont="1" applyFill="1" applyBorder="1"/>
    <xf numFmtId="1" fontId="10" fillId="27" borderId="19" xfId="1" applyNumberFormat="1" applyFont="1" applyFill="1" applyBorder="1" applyAlignment="1">
      <alignment vertical="center"/>
    </xf>
    <xf numFmtId="1" fontId="30" fillId="27" borderId="19" xfId="1" applyNumberFormat="1" applyFont="1" applyFill="1" applyBorder="1" applyAlignment="1">
      <alignment vertical="center"/>
    </xf>
    <xf numFmtId="9" fontId="23" fillId="27" borderId="21" xfId="1" applyNumberFormat="1" applyFont="1" applyFill="1" applyBorder="1" applyAlignment="1">
      <alignment vertical="center"/>
    </xf>
    <xf numFmtId="3" fontId="22" fillId="26" borderId="26" xfId="4" applyNumberFormat="1" applyFont="1" applyFill="1" applyBorder="1" applyAlignment="1"/>
    <xf numFmtId="1" fontId="23" fillId="27" borderId="26" xfId="1" applyNumberFormat="1" applyFont="1" applyFill="1" applyBorder="1" applyAlignment="1">
      <alignment vertical="center"/>
    </xf>
    <xf numFmtId="9" fontId="23" fillId="27" borderId="26" xfId="1" applyNumberFormat="1" applyFont="1" applyFill="1" applyBorder="1" applyAlignment="1">
      <alignment vertical="center"/>
    </xf>
    <xf numFmtId="1" fontId="10" fillId="27" borderId="26" xfId="1" applyNumberFormat="1" applyFont="1" applyFill="1" applyBorder="1" applyAlignment="1">
      <alignment horizontal="right" vertical="center" indent="1"/>
    </xf>
    <xf numFmtId="1" fontId="30" fillId="27" borderId="26" xfId="1" applyNumberFormat="1" applyFont="1" applyFill="1" applyBorder="1" applyAlignment="1">
      <alignment vertical="center"/>
    </xf>
    <xf numFmtId="9" fontId="30" fillId="27" borderId="26" xfId="1" applyNumberFormat="1" applyFont="1" applyFill="1" applyBorder="1" applyAlignment="1">
      <alignment vertical="center"/>
    </xf>
    <xf numFmtId="0" fontId="7" fillId="27" borderId="26" xfId="1" applyFont="1" applyFill="1" applyBorder="1" applyAlignment="1">
      <alignment horizontal="right" vertical="center" indent="1"/>
    </xf>
    <xf numFmtId="167" fontId="22" fillId="26" borderId="26" xfId="4" applyNumberFormat="1" applyFont="1" applyFill="1" applyBorder="1"/>
    <xf numFmtId="9" fontId="23" fillId="27" borderId="26" xfId="1" applyNumberFormat="1" applyFont="1" applyFill="1" applyBorder="1" applyAlignment="1">
      <alignment vertical="center" wrapText="1"/>
    </xf>
    <xf numFmtId="9" fontId="10" fillId="27" borderId="26" xfId="1" applyNumberFormat="1" applyFont="1" applyFill="1" applyBorder="1" applyAlignment="1">
      <alignment horizontal="right" vertical="center" wrapText="1" indent="1"/>
    </xf>
    <xf numFmtId="3" fontId="10" fillId="27" borderId="26" xfId="1" applyNumberFormat="1" applyFont="1" applyFill="1" applyBorder="1" applyAlignment="1">
      <alignment vertical="center" wrapText="1"/>
    </xf>
    <xf numFmtId="0" fontId="3" fillId="26" borderId="26" xfId="4" applyFont="1" applyFill="1" applyBorder="1" applyAlignment="1" applyProtection="1">
      <alignment horizontal="center" vertical="center"/>
      <protection locked="0"/>
    </xf>
    <xf numFmtId="3" fontId="23" fillId="22" borderId="20" xfId="1" applyNumberFormat="1" applyFont="1" applyFill="1" applyBorder="1" applyAlignment="1">
      <alignment vertical="center"/>
    </xf>
    <xf numFmtId="9" fontId="23" fillId="22" borderId="20" xfId="1" applyNumberFormat="1" applyFont="1" applyFill="1" applyBorder="1" applyAlignment="1">
      <alignment vertical="center"/>
    </xf>
    <xf numFmtId="0" fontId="10" fillId="22" borderId="20" xfId="1" applyFont="1" applyFill="1" applyBorder="1" applyAlignment="1">
      <alignment horizontal="right" vertical="center" indent="1"/>
    </xf>
    <xf numFmtId="9" fontId="10" fillId="22" borderId="20" xfId="1" applyNumberFormat="1" applyFont="1" applyFill="1" applyBorder="1" applyAlignment="1">
      <alignment horizontal="right" vertical="center" indent="1"/>
    </xf>
    <xf numFmtId="0" fontId="7" fillId="22" borderId="20" xfId="1" applyFont="1" applyFill="1" applyBorder="1" applyAlignment="1">
      <alignment horizontal="right" vertical="center" indent="1"/>
    </xf>
    <xf numFmtId="1" fontId="23" fillId="22" borderId="20" xfId="1" applyNumberFormat="1" applyFont="1" applyFill="1" applyBorder="1" applyAlignment="1">
      <alignment vertical="center"/>
    </xf>
    <xf numFmtId="3" fontId="23" fillId="22" borderId="21" xfId="1" applyNumberFormat="1" applyFont="1" applyFill="1" applyBorder="1" applyAlignment="1">
      <alignment vertical="center"/>
    </xf>
    <xf numFmtId="3" fontId="22" fillId="22" borderId="20" xfId="0" applyNumberFormat="1" applyFont="1" applyFill="1" applyBorder="1" applyAlignment="1">
      <alignment horizontal="right" vertical="center" indent="1"/>
    </xf>
    <xf numFmtId="0" fontId="23" fillId="22" borderId="20" xfId="1" applyFont="1" applyFill="1" applyBorder="1" applyAlignment="1">
      <alignment horizontal="right" vertical="center" indent="1"/>
    </xf>
    <xf numFmtId="3" fontId="23" fillId="22" borderId="20" xfId="1" applyNumberFormat="1" applyFont="1" applyFill="1" applyBorder="1" applyAlignment="1">
      <alignment horizontal="right" vertical="center"/>
    </xf>
    <xf numFmtId="9" fontId="23" fillId="22" borderId="20" xfId="1" applyNumberFormat="1" applyFont="1" applyFill="1" applyBorder="1" applyAlignment="1">
      <alignment horizontal="right" vertical="center"/>
    </xf>
    <xf numFmtId="9" fontId="23" fillId="22" borderId="20" xfId="1" applyNumberFormat="1" applyFont="1" applyFill="1" applyBorder="1" applyAlignment="1">
      <alignment horizontal="right" vertical="center" indent="1"/>
    </xf>
    <xf numFmtId="0" fontId="22" fillId="22" borderId="20" xfId="1" applyFont="1" applyFill="1" applyBorder="1" applyAlignment="1">
      <alignment horizontal="right" vertical="center" indent="1"/>
    </xf>
    <xf numFmtId="1" fontId="22" fillId="21" borderId="20" xfId="1" applyNumberFormat="1" applyFont="1" applyFill="1" applyBorder="1" applyAlignment="1">
      <alignment vertical="center"/>
    </xf>
    <xf numFmtId="0" fontId="24" fillId="22" borderId="20" xfId="1" applyFont="1" applyFill="1" applyBorder="1" applyAlignment="1">
      <alignment vertical="center"/>
    </xf>
    <xf numFmtId="3" fontId="23" fillId="22" borderId="20" xfId="0" applyNumberFormat="1" applyFont="1" applyFill="1" applyBorder="1" applyAlignment="1">
      <alignment vertical="center"/>
    </xf>
    <xf numFmtId="0" fontId="23" fillId="21" borderId="20" xfId="0" applyFont="1" applyFill="1" applyBorder="1"/>
    <xf numFmtId="1" fontId="23" fillId="22" borderId="19" xfId="1" applyNumberFormat="1" applyFont="1" applyFill="1" applyBorder="1" applyAlignment="1">
      <alignment horizontal="right" vertical="center"/>
    </xf>
    <xf numFmtId="3" fontId="22" fillId="21" borderId="27" xfId="4" applyNumberFormat="1" applyFont="1" applyFill="1" applyBorder="1" applyAlignment="1"/>
    <xf numFmtId="1" fontId="23" fillId="21" borderId="27" xfId="1" applyNumberFormat="1" applyFont="1" applyFill="1" applyBorder="1" applyAlignment="1">
      <alignment vertical="center"/>
    </xf>
    <xf numFmtId="9" fontId="23" fillId="21" borderId="27" xfId="1" applyNumberFormat="1" applyFont="1" applyFill="1" applyBorder="1" applyAlignment="1">
      <alignment vertical="center"/>
    </xf>
    <xf numFmtId="1" fontId="10" fillId="21" borderId="27" xfId="1" applyNumberFormat="1" applyFont="1" applyFill="1" applyBorder="1" applyAlignment="1">
      <alignment horizontal="right" vertical="center" indent="1"/>
    </xf>
    <xf numFmtId="0" fontId="7" fillId="21" borderId="27" xfId="1" applyFont="1" applyFill="1" applyBorder="1" applyAlignment="1">
      <alignment horizontal="right" vertical="center" indent="1"/>
    </xf>
    <xf numFmtId="167" fontId="22" fillId="21" borderId="27" xfId="4" applyNumberFormat="1" applyFont="1" applyFill="1" applyBorder="1"/>
    <xf numFmtId="9" fontId="23" fillId="21" borderId="27" xfId="1" applyNumberFormat="1" applyFont="1" applyFill="1" applyBorder="1" applyAlignment="1">
      <alignment vertical="center" wrapText="1"/>
    </xf>
    <xf numFmtId="9" fontId="10" fillId="21" borderId="27" xfId="1" applyNumberFormat="1" applyFont="1" applyFill="1" applyBorder="1" applyAlignment="1">
      <alignment horizontal="right" vertical="center" wrapText="1" indent="1"/>
    </xf>
    <xf numFmtId="3" fontId="10" fillId="21" borderId="27" xfId="1" applyNumberFormat="1" applyFont="1" applyFill="1" applyBorder="1" applyAlignment="1">
      <alignment vertical="center" wrapText="1"/>
    </xf>
    <xf numFmtId="1" fontId="15" fillId="0" borderId="0" xfId="0" applyNumberFormat="1" applyFont="1" applyFill="1"/>
    <xf numFmtId="0" fontId="1" fillId="2" borderId="0" xfId="4" applyFont="1" applyFill="1" applyBorder="1" applyProtection="1">
      <protection locked="0"/>
    </xf>
    <xf numFmtId="0" fontId="23" fillId="0" borderId="0" xfId="0" applyFont="1" applyBorder="1"/>
    <xf numFmtId="0" fontId="30" fillId="0" borderId="0" xfId="0" applyFont="1" applyBorder="1"/>
    <xf numFmtId="1" fontId="30" fillId="0" borderId="0" xfId="0" applyNumberFormat="1" applyFont="1" applyBorder="1"/>
    <xf numFmtId="0" fontId="38" fillId="0" borderId="0" xfId="0" applyFont="1"/>
    <xf numFmtId="49" fontId="34" fillId="0" borderId="0" xfId="0" applyNumberFormat="1" applyFont="1" applyFill="1" applyBorder="1"/>
    <xf numFmtId="0" fontId="23" fillId="0" borderId="0" xfId="0" applyFont="1" applyFill="1" applyBorder="1"/>
    <xf numFmtId="1" fontId="23" fillId="0" borderId="0" xfId="0" applyNumberFormat="1" applyFont="1" applyFill="1" applyBorder="1"/>
    <xf numFmtId="0" fontId="38" fillId="0" borderId="0" xfId="0" applyFont="1" applyFill="1" applyBorder="1"/>
    <xf numFmtId="0" fontId="34" fillId="0" borderId="0" xfId="4" applyFont="1" applyFill="1" applyBorder="1" applyProtection="1">
      <protection locked="0"/>
    </xf>
    <xf numFmtId="0" fontId="38" fillId="0" borderId="0" xfId="0" applyFont="1" applyFill="1"/>
    <xf numFmtId="49" fontId="34" fillId="0" borderId="0" xfId="0" applyNumberFormat="1" applyFont="1" applyFill="1"/>
    <xf numFmtId="0" fontId="34" fillId="0" borderId="9" xfId="4" applyFont="1" applyFill="1" applyBorder="1" applyProtection="1">
      <protection locked="0"/>
    </xf>
    <xf numFmtId="0" fontId="1" fillId="0" borderId="9" xfId="4" applyFont="1" applyFill="1" applyBorder="1" applyProtection="1">
      <protection locked="0"/>
    </xf>
    <xf numFmtId="0" fontId="15" fillId="0" borderId="0" xfId="0" applyFont="1" applyFill="1"/>
    <xf numFmtId="1" fontId="0" fillId="0" borderId="0" xfId="0" applyNumberFormat="1" applyFill="1"/>
    <xf numFmtId="1" fontId="22" fillId="5" borderId="18" xfId="4" applyNumberFormat="1" applyFont="1" applyFill="1" applyBorder="1" applyAlignment="1" applyProtection="1">
      <alignment horizontal="right"/>
      <protection locked="0"/>
    </xf>
    <xf numFmtId="1" fontId="14" fillId="2" borderId="18" xfId="1" applyNumberFormat="1" applyFont="1" applyFill="1" applyBorder="1" applyAlignment="1">
      <alignment horizontal="left" vertical="center" wrapText="1"/>
    </xf>
    <xf numFmtId="0" fontId="40" fillId="2" borderId="19" xfId="1" applyFont="1" applyFill="1" applyBorder="1"/>
    <xf numFmtId="0" fontId="40" fillId="3" borderId="19" xfId="1" applyFont="1" applyFill="1" applyBorder="1" applyAlignment="1">
      <alignment horizontal="right" vertical="center" indent="1"/>
    </xf>
    <xf numFmtId="10" fontId="40" fillId="3" borderId="19" xfId="1" applyNumberFormat="1" applyFont="1" applyFill="1" applyBorder="1" applyAlignment="1">
      <alignment horizontal="right" vertical="center" indent="1"/>
    </xf>
    <xf numFmtId="10" fontId="40" fillId="3" borderId="20" xfId="1" applyNumberFormat="1" applyFont="1" applyFill="1" applyBorder="1" applyAlignment="1">
      <alignment horizontal="right" vertical="center" indent="1"/>
    </xf>
    <xf numFmtId="10" fontId="40" fillId="3" borderId="18" xfId="1" applyNumberFormat="1" applyFont="1" applyFill="1" applyBorder="1" applyAlignment="1">
      <alignment horizontal="right" vertical="center" indent="1"/>
    </xf>
    <xf numFmtId="1" fontId="22" fillId="5" borderId="19" xfId="4" applyNumberFormat="1" applyFont="1" applyFill="1" applyBorder="1" applyAlignment="1" applyProtection="1">
      <alignment horizontal="right"/>
      <protection locked="0"/>
    </xf>
    <xf numFmtId="0" fontId="16" fillId="14" borderId="8" xfId="4" applyFont="1" applyFill="1" applyBorder="1" applyAlignment="1" applyProtection="1">
      <alignment vertical="center"/>
      <protection locked="0"/>
    </xf>
    <xf numFmtId="0" fontId="16" fillId="14" borderId="8" xfId="4" applyFont="1" applyFill="1" applyBorder="1" applyAlignment="1" applyProtection="1">
      <alignment horizontal="center"/>
      <protection locked="0"/>
    </xf>
    <xf numFmtId="0" fontId="16" fillId="14" borderId="8" xfId="4" applyFont="1" applyFill="1" applyBorder="1" applyAlignment="1" applyProtection="1">
      <protection locked="0"/>
    </xf>
    <xf numFmtId="0" fontId="0" fillId="9" borderId="9" xfId="0" applyFill="1" applyBorder="1"/>
    <xf numFmtId="0" fontId="6" fillId="9" borderId="9" xfId="1" applyFont="1" applyFill="1" applyBorder="1" applyAlignment="1">
      <alignment horizontal="center" vertical="center"/>
    </xf>
    <xf numFmtId="0" fontId="16" fillId="4" borderId="64" xfId="4" applyFont="1" applyFill="1" applyBorder="1" applyAlignment="1" applyProtection="1">
      <alignment horizontal="center"/>
      <protection locked="0"/>
    </xf>
    <xf numFmtId="0" fontId="1" fillId="12" borderId="0" xfId="3" applyFont="1" applyFill="1" applyBorder="1" applyAlignment="1" applyProtection="1">
      <alignment horizontal="center"/>
      <protection locked="0"/>
    </xf>
    <xf numFmtId="0" fontId="18" fillId="12" borderId="0" xfId="3" applyFont="1" applyFill="1" applyBorder="1" applyAlignment="1" applyProtection="1">
      <alignment horizontal="center"/>
      <protection locked="0"/>
    </xf>
    <xf numFmtId="0" fontId="16" fillId="4" borderId="1" xfId="4" applyFont="1" applyFill="1" applyBorder="1" applyAlignment="1" applyProtection="1">
      <alignment horizontal="center"/>
      <protection locked="0"/>
    </xf>
    <xf numFmtId="0" fontId="16" fillId="4" borderId="1" xfId="4" applyFont="1" applyFill="1" applyBorder="1" applyAlignment="1" applyProtection="1">
      <alignment horizontal="center" wrapText="1"/>
      <protection locked="0"/>
    </xf>
    <xf numFmtId="0" fontId="0" fillId="5" borderId="1" xfId="0" applyFill="1" applyBorder="1" applyAlignment="1"/>
    <xf numFmtId="0" fontId="10" fillId="5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/>
    </xf>
    <xf numFmtId="0" fontId="16" fillId="4" borderId="8" xfId="4" applyFont="1" applyFill="1" applyBorder="1" applyAlignment="1" applyProtection="1">
      <alignment horizontal="center"/>
      <protection locked="0"/>
    </xf>
    <xf numFmtId="0" fontId="16" fillId="4" borderId="8" xfId="4" applyFont="1" applyFill="1" applyBorder="1" applyAlignment="1" applyProtection="1">
      <alignment horizontal="center" wrapText="1"/>
      <protection locked="0"/>
    </xf>
    <xf numFmtId="0" fontId="1" fillId="12" borderId="8" xfId="3" applyFont="1" applyFill="1" applyBorder="1" applyAlignment="1" applyProtection="1">
      <alignment horizontal="center"/>
      <protection locked="0"/>
    </xf>
    <xf numFmtId="0" fontId="0" fillId="5" borderId="9" xfId="0" applyFill="1" applyBorder="1" applyAlignment="1"/>
    <xf numFmtId="0" fontId="7" fillId="5" borderId="9" xfId="1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/>
    </xf>
    <xf numFmtId="0" fontId="18" fillId="12" borderId="9" xfId="3" applyFont="1" applyFill="1" applyBorder="1" applyAlignment="1" applyProtection="1">
      <alignment horizontal="center"/>
      <protection locked="0"/>
    </xf>
    <xf numFmtId="3" fontId="23" fillId="17" borderId="19" xfId="1" applyNumberFormat="1" applyFont="1" applyFill="1" applyBorder="1" applyAlignment="1">
      <alignment vertical="center"/>
    </xf>
    <xf numFmtId="3" fontId="23" fillId="17" borderId="18" xfId="1" applyNumberFormat="1" applyFont="1" applyFill="1" applyBorder="1" applyAlignment="1">
      <alignment vertical="center"/>
    </xf>
    <xf numFmtId="1" fontId="25" fillId="16" borderId="19" xfId="1" applyNumberFormat="1" applyFont="1" applyFill="1" applyBorder="1" applyAlignment="1">
      <alignment vertical="center" wrapText="1"/>
    </xf>
    <xf numFmtId="1" fontId="25" fillId="16" borderId="18" xfId="1" applyNumberFormat="1" applyFont="1" applyFill="1" applyBorder="1" applyAlignment="1">
      <alignment vertical="center" wrapText="1"/>
    </xf>
    <xf numFmtId="3" fontId="23" fillId="17" borderId="19" xfId="0" applyNumberFormat="1" applyFont="1" applyFill="1" applyBorder="1" applyAlignment="1" applyProtection="1">
      <alignment vertical="center"/>
      <protection locked="0"/>
    </xf>
    <xf numFmtId="3" fontId="23" fillId="17" borderId="18" xfId="0" applyNumberFormat="1" applyFont="1" applyFill="1" applyBorder="1" applyAlignment="1" applyProtection="1">
      <alignment vertical="center"/>
      <protection locked="0"/>
    </xf>
    <xf numFmtId="1" fontId="22" fillId="17" borderId="19" xfId="1" applyNumberFormat="1" applyFont="1" applyFill="1" applyBorder="1" applyAlignment="1">
      <alignment vertical="center"/>
    </xf>
    <xf numFmtId="3" fontId="22" fillId="17" borderId="18" xfId="1" applyNumberFormat="1" applyFont="1" applyFill="1" applyBorder="1" applyAlignment="1">
      <alignment vertical="center"/>
    </xf>
    <xf numFmtId="3" fontId="22" fillId="17" borderId="19" xfId="1" applyNumberFormat="1" applyFont="1" applyFill="1" applyBorder="1" applyAlignment="1">
      <alignment vertical="center"/>
    </xf>
    <xf numFmtId="1" fontId="23" fillId="17" borderId="19" xfId="1" applyNumberFormat="1" applyFont="1" applyFill="1" applyBorder="1" applyAlignment="1">
      <alignment horizontal="right" vertical="center" indent="1"/>
    </xf>
    <xf numFmtId="1" fontId="23" fillId="17" borderId="18" xfId="1" applyNumberFormat="1" applyFont="1" applyFill="1" applyBorder="1" applyAlignment="1">
      <alignment vertical="center"/>
    </xf>
    <xf numFmtId="1" fontId="23" fillId="17" borderId="19" xfId="1" applyNumberFormat="1" applyFont="1" applyFill="1" applyBorder="1" applyAlignment="1">
      <alignment vertical="center"/>
    </xf>
    <xf numFmtId="3" fontId="23" fillId="17" borderId="19" xfId="1" applyNumberFormat="1" applyFont="1" applyFill="1" applyBorder="1" applyAlignment="1">
      <alignment horizontal="right" vertical="center" wrapText="1" indent="1"/>
    </xf>
    <xf numFmtId="3" fontId="22" fillId="17" borderId="19" xfId="1" applyNumberFormat="1" applyFont="1" applyFill="1" applyBorder="1" applyAlignment="1">
      <alignment horizontal="right" vertical="center" wrapText="1" indent="1"/>
    </xf>
    <xf numFmtId="3" fontId="23" fillId="17" borderId="19" xfId="0" applyNumberFormat="1" applyFont="1" applyFill="1" applyBorder="1" applyAlignment="1">
      <alignment horizontal="right" vertical="center" indent="1"/>
    </xf>
    <xf numFmtId="3" fontId="23" fillId="17" borderId="18" xfId="0" applyNumberFormat="1" applyFont="1" applyFill="1" applyBorder="1" applyAlignment="1" applyProtection="1">
      <alignment vertical="center" wrapText="1"/>
      <protection locked="0"/>
    </xf>
    <xf numFmtId="1" fontId="23" fillId="17" borderId="9" xfId="1" applyNumberFormat="1" applyFont="1" applyFill="1" applyBorder="1" applyAlignment="1">
      <alignment vertical="center"/>
    </xf>
    <xf numFmtId="3" fontId="23" fillId="17" borderId="10" xfId="1" applyNumberFormat="1" applyFont="1" applyFill="1" applyBorder="1" applyAlignment="1">
      <alignment vertical="center"/>
    </xf>
    <xf numFmtId="1" fontId="23" fillId="17" borderId="10" xfId="1" applyNumberFormat="1" applyFont="1" applyFill="1" applyBorder="1" applyAlignment="1">
      <alignment vertical="center"/>
    </xf>
    <xf numFmtId="3" fontId="23" fillId="17" borderId="3" xfId="1" applyNumberFormat="1" applyFont="1" applyFill="1" applyBorder="1" applyAlignment="1">
      <alignment vertical="center"/>
    </xf>
    <xf numFmtId="1" fontId="22" fillId="17" borderId="9" xfId="1" applyNumberFormat="1" applyFont="1" applyFill="1" applyBorder="1" applyAlignment="1">
      <alignment vertical="center"/>
    </xf>
    <xf numFmtId="1" fontId="22" fillId="17" borderId="18" xfId="1" applyNumberFormat="1" applyFont="1" applyFill="1" applyBorder="1" applyAlignment="1">
      <alignment vertical="center"/>
    </xf>
    <xf numFmtId="1" fontId="23" fillId="17" borderId="1" xfId="1" applyNumberFormat="1" applyFont="1" applyFill="1" applyBorder="1" applyAlignment="1">
      <alignment vertical="center"/>
    </xf>
    <xf numFmtId="1" fontId="22" fillId="5" borderId="1" xfId="4" applyNumberFormat="1" applyFont="1" applyFill="1" applyBorder="1" applyAlignment="1" applyProtection="1">
      <alignment horizontal="right"/>
      <protection locked="0"/>
    </xf>
    <xf numFmtId="1" fontId="23" fillId="0" borderId="1" xfId="1" applyNumberFormat="1" applyFont="1" applyFill="1" applyBorder="1" applyAlignment="1">
      <alignment vertical="center"/>
    </xf>
    <xf numFmtId="1" fontId="23" fillId="16" borderId="1" xfId="1" applyNumberFormat="1" applyFont="1" applyFill="1" applyBorder="1" applyAlignment="1">
      <alignment vertical="center"/>
    </xf>
    <xf numFmtId="1" fontId="22" fillId="5" borderId="29" xfId="4" applyNumberFormat="1" applyFont="1" applyFill="1" applyBorder="1" applyAlignment="1" applyProtection="1">
      <alignment horizontal="right"/>
      <protection locked="0"/>
    </xf>
    <xf numFmtId="1" fontId="23" fillId="17" borderId="32" xfId="1" applyNumberFormat="1" applyFont="1" applyFill="1" applyBorder="1" applyAlignment="1">
      <alignment vertical="center"/>
    </xf>
    <xf numFmtId="3" fontId="22" fillId="17" borderId="1" xfId="1" applyNumberFormat="1" applyFont="1" applyFill="1" applyBorder="1" applyAlignment="1">
      <alignment vertical="center" wrapText="1"/>
    </xf>
    <xf numFmtId="3" fontId="22" fillId="17" borderId="29" xfId="1" applyNumberFormat="1" applyFont="1" applyFill="1" applyBorder="1" applyAlignment="1">
      <alignment vertical="center" wrapText="1"/>
    </xf>
    <xf numFmtId="3" fontId="22" fillId="17" borderId="18" xfId="1" applyNumberFormat="1" applyFont="1" applyFill="1" applyBorder="1" applyAlignment="1">
      <alignment vertical="center" wrapText="1"/>
    </xf>
    <xf numFmtId="3" fontId="22" fillId="17" borderId="19" xfId="1" applyNumberFormat="1" applyFont="1" applyFill="1" applyBorder="1" applyAlignment="1">
      <alignment vertical="center" wrapText="1"/>
    </xf>
    <xf numFmtId="3" fontId="22" fillId="17" borderId="19" xfId="0" applyNumberFormat="1" applyFont="1" applyFill="1" applyBorder="1" applyAlignment="1">
      <alignment vertical="center"/>
    </xf>
    <xf numFmtId="3" fontId="22" fillId="17" borderId="18" xfId="0" applyNumberFormat="1" applyFont="1" applyFill="1" applyBorder="1" applyAlignment="1">
      <alignment vertical="center"/>
    </xf>
    <xf numFmtId="165" fontId="22" fillId="17" borderId="18" xfId="0" applyNumberFormat="1" applyFont="1" applyFill="1" applyBorder="1" applyAlignment="1">
      <alignment vertical="center"/>
    </xf>
    <xf numFmtId="3" fontId="22" fillId="17" borderId="19" xfId="0" applyNumberFormat="1" applyFont="1" applyFill="1" applyBorder="1" applyAlignment="1">
      <alignment horizontal="right" vertical="center" indent="1"/>
    </xf>
    <xf numFmtId="165" fontId="22" fillId="17" borderId="19" xfId="0" applyNumberFormat="1" applyFont="1" applyFill="1" applyBorder="1" applyAlignment="1">
      <alignment horizontal="right" vertical="center" indent="1"/>
    </xf>
    <xf numFmtId="3" fontId="22" fillId="17" borderId="10" xfId="0" applyNumberFormat="1" applyFont="1" applyFill="1" applyBorder="1" applyAlignment="1">
      <alignment vertical="center"/>
    </xf>
    <xf numFmtId="165" fontId="22" fillId="17" borderId="1" xfId="0" applyNumberFormat="1" applyFont="1" applyFill="1" applyBorder="1" applyAlignment="1">
      <alignment vertical="center"/>
    </xf>
    <xf numFmtId="3" fontId="22" fillId="16" borderId="1" xfId="4" applyNumberFormat="1" applyFont="1" applyFill="1" applyBorder="1" applyAlignment="1" applyProtection="1">
      <alignment horizontal="right"/>
      <protection locked="0"/>
    </xf>
    <xf numFmtId="164" fontId="22" fillId="16" borderId="1" xfId="4" applyNumberFormat="1" applyFont="1" applyFill="1" applyBorder="1" applyAlignment="1" applyProtection="1">
      <alignment horizontal="right"/>
      <protection locked="0"/>
    </xf>
    <xf numFmtId="3" fontId="22" fillId="16" borderId="1" xfId="4" applyNumberFormat="1" applyFont="1" applyFill="1" applyBorder="1" applyAlignment="1">
      <alignment horizontal="right"/>
    </xf>
    <xf numFmtId="3" fontId="22" fillId="16" borderId="29" xfId="4" applyNumberFormat="1" applyFont="1" applyFill="1" applyBorder="1" applyAlignment="1" applyProtection="1">
      <alignment horizontal="right"/>
      <protection locked="0"/>
    </xf>
    <xf numFmtId="164" fontId="22" fillId="16" borderId="29" xfId="4" applyNumberFormat="1" applyFont="1" applyFill="1" applyBorder="1" applyAlignment="1" applyProtection="1">
      <alignment horizontal="right"/>
      <protection locked="0"/>
    </xf>
    <xf numFmtId="3" fontId="22" fillId="16" borderId="29" xfId="4" applyNumberFormat="1" applyFont="1" applyFill="1" applyBorder="1" applyAlignment="1">
      <alignment horizontal="right"/>
    </xf>
    <xf numFmtId="3" fontId="22" fillId="16" borderId="18" xfId="4" applyNumberFormat="1" applyFont="1" applyFill="1" applyBorder="1" applyAlignment="1" applyProtection="1">
      <alignment horizontal="right"/>
      <protection locked="0"/>
    </xf>
    <xf numFmtId="164" fontId="22" fillId="16" borderId="18" xfId="4" applyNumberFormat="1" applyFont="1" applyFill="1" applyBorder="1" applyAlignment="1" applyProtection="1">
      <alignment horizontal="right"/>
      <protection locked="0"/>
    </xf>
    <xf numFmtId="3" fontId="22" fillId="16" borderId="18" xfId="4" applyNumberFormat="1" applyFont="1" applyFill="1" applyBorder="1" applyAlignment="1">
      <alignment horizontal="right"/>
    </xf>
    <xf numFmtId="164" fontId="22" fillId="16" borderId="19" xfId="4" applyNumberFormat="1" applyFont="1" applyFill="1" applyBorder="1" applyAlignment="1" applyProtection="1">
      <alignment horizontal="right"/>
      <protection locked="0"/>
    </xf>
    <xf numFmtId="3" fontId="22" fillId="17" borderId="3" xfId="0" applyNumberFormat="1" applyFont="1" applyFill="1" applyBorder="1" applyAlignment="1">
      <alignment vertical="center"/>
    </xf>
    <xf numFmtId="165" fontId="22" fillId="17" borderId="3" xfId="0" applyNumberFormat="1" applyFont="1" applyFill="1" applyBorder="1" applyAlignment="1">
      <alignment vertical="center"/>
    </xf>
    <xf numFmtId="3" fontId="22" fillId="17" borderId="1" xfId="0" applyNumberFormat="1" applyFont="1" applyFill="1" applyBorder="1" applyAlignment="1">
      <alignment vertical="center"/>
    </xf>
    <xf numFmtId="3" fontId="22" fillId="16" borderId="19" xfId="4" applyNumberFormat="1" applyFont="1" applyFill="1" applyBorder="1" applyProtection="1">
      <protection locked="0"/>
    </xf>
    <xf numFmtId="3" fontId="22" fillId="16" borderId="19" xfId="4" applyNumberFormat="1" applyFont="1" applyFill="1" applyBorder="1"/>
    <xf numFmtId="1" fontId="25" fillId="0" borderId="19" xfId="1" applyNumberFormat="1" applyFont="1" applyFill="1" applyBorder="1" applyAlignment="1">
      <alignment vertical="center" wrapText="1"/>
    </xf>
    <xf numFmtId="3" fontId="23" fillId="0" borderId="19" xfId="1" applyNumberFormat="1" applyFont="1" applyFill="1" applyBorder="1" applyAlignment="1">
      <alignment vertical="center"/>
    </xf>
    <xf numFmtId="3" fontId="22" fillId="10" borderId="18" xfId="1" applyNumberFormat="1" applyFont="1" applyFill="1" applyBorder="1" applyAlignment="1">
      <alignment horizontal="right" vertical="center" indent="1"/>
    </xf>
    <xf numFmtId="3" fontId="22" fillId="10" borderId="20" xfId="1" applyNumberFormat="1" applyFont="1" applyFill="1" applyBorder="1" applyAlignment="1">
      <alignment horizontal="right" vertical="center" indent="1"/>
    </xf>
    <xf numFmtId="3" fontId="22" fillId="10" borderId="18" xfId="1" applyNumberFormat="1" applyFont="1" applyFill="1" applyBorder="1" applyAlignment="1">
      <alignment vertical="center"/>
    </xf>
    <xf numFmtId="1" fontId="25" fillId="16" borderId="18" xfId="1" applyNumberFormat="1" applyFont="1" applyFill="1" applyBorder="1" applyAlignment="1">
      <alignment horizontal="right" vertical="center" wrapText="1" indent="1"/>
    </xf>
    <xf numFmtId="1" fontId="25" fillId="16" borderId="19" xfId="1" applyNumberFormat="1" applyFont="1" applyFill="1" applyBorder="1" applyAlignment="1">
      <alignment horizontal="right" vertical="center" wrapText="1" indent="1"/>
    </xf>
    <xf numFmtId="3" fontId="23" fillId="16" borderId="19" xfId="1" applyNumberFormat="1" applyFont="1" applyFill="1" applyBorder="1" applyAlignment="1">
      <alignment horizontal="right" vertical="center" wrapText="1" indent="1"/>
    </xf>
    <xf numFmtId="3" fontId="23" fillId="17" borderId="19" xfId="0" applyNumberFormat="1" applyFont="1" applyFill="1" applyBorder="1" applyAlignment="1">
      <alignment vertical="center"/>
    </xf>
    <xf numFmtId="3" fontId="23" fillId="17" borderId="19" xfId="1" applyNumberFormat="1" applyFont="1" applyFill="1" applyBorder="1" applyAlignment="1">
      <alignment vertical="center" wrapText="1"/>
    </xf>
    <xf numFmtId="0" fontId="1" fillId="0" borderId="0" xfId="0" applyFont="1" applyBorder="1"/>
    <xf numFmtId="0" fontId="25" fillId="2" borderId="19" xfId="1" applyFont="1" applyFill="1" applyBorder="1" applyAlignment="1">
      <alignment horizontal="right" vertical="center" wrapText="1"/>
    </xf>
    <xf numFmtId="1" fontId="23" fillId="0" borderId="19" xfId="1" applyNumberFormat="1" applyFont="1" applyFill="1" applyBorder="1" applyAlignment="1">
      <alignment vertical="center"/>
    </xf>
    <xf numFmtId="1" fontId="22" fillId="9" borderId="9" xfId="4" applyNumberFormat="1" applyFont="1" applyFill="1" applyBorder="1" applyAlignment="1" applyProtection="1">
      <alignment horizontal="right"/>
      <protection locked="0"/>
    </xf>
    <xf numFmtId="1" fontId="22" fillId="9" borderId="9" xfId="4" applyNumberFormat="1" applyFont="1" applyFill="1" applyBorder="1" applyAlignment="1" applyProtection="1">
      <alignment vertical="center"/>
      <protection locked="0"/>
    </xf>
    <xf numFmtId="1" fontId="23" fillId="17" borderId="9" xfId="1" applyNumberFormat="1" applyFont="1" applyFill="1" applyBorder="1" applyAlignment="1">
      <alignment horizontal="right" vertical="center"/>
    </xf>
    <xf numFmtId="1" fontId="22" fillId="17" borderId="9" xfId="1" applyNumberFormat="1" applyFont="1" applyFill="1" applyBorder="1" applyAlignment="1">
      <alignment horizontal="right" vertical="center"/>
    </xf>
    <xf numFmtId="1" fontId="22" fillId="3" borderId="9" xfId="1" applyNumberFormat="1" applyFont="1" applyFill="1" applyBorder="1" applyAlignment="1">
      <alignment vertical="center"/>
    </xf>
    <xf numFmtId="1" fontId="23" fillId="0" borderId="19" xfId="1" applyNumberFormat="1" applyFont="1" applyFill="1" applyBorder="1" applyAlignment="1">
      <alignment horizontal="right" vertical="center"/>
    </xf>
    <xf numFmtId="1" fontId="23" fillId="17" borderId="3" xfId="1" applyNumberFormat="1" applyFont="1" applyFill="1" applyBorder="1" applyAlignment="1">
      <alignment vertical="center"/>
    </xf>
    <xf numFmtId="0" fontId="34" fillId="0" borderId="0" xfId="0" applyFont="1"/>
    <xf numFmtId="1" fontId="23" fillId="17" borderId="14" xfId="1" applyNumberFormat="1" applyFont="1" applyFill="1" applyBorder="1" applyAlignment="1">
      <alignment vertical="center"/>
    </xf>
    <xf numFmtId="1" fontId="23" fillId="17" borderId="56" xfId="1" applyNumberFormat="1" applyFont="1" applyFill="1" applyBorder="1" applyAlignment="1">
      <alignment vertical="center"/>
    </xf>
    <xf numFmtId="167" fontId="22" fillId="16" borderId="1" xfId="4" applyNumberFormat="1" applyFont="1" applyFill="1" applyBorder="1"/>
    <xf numFmtId="1" fontId="23" fillId="3" borderId="1" xfId="1" applyNumberFormat="1" applyFont="1" applyFill="1" applyBorder="1" applyAlignment="1">
      <alignment horizontal="right" vertical="center" wrapText="1"/>
    </xf>
    <xf numFmtId="1" fontId="23" fillId="3" borderId="1" xfId="1" applyNumberFormat="1" applyFont="1" applyFill="1" applyBorder="1" applyAlignment="1">
      <alignment vertical="center" wrapText="1"/>
    </xf>
    <xf numFmtId="1" fontId="23" fillId="3" borderId="26" xfId="1" applyNumberFormat="1" applyFont="1" applyFill="1" applyBorder="1" applyAlignment="1">
      <alignment vertical="center" wrapText="1"/>
    </xf>
    <xf numFmtId="1" fontId="12" fillId="2" borderId="19" xfId="1" applyNumberFormat="1" applyFont="1" applyFill="1" applyBorder="1" applyAlignment="1">
      <alignment vertical="center" wrapText="1"/>
    </xf>
    <xf numFmtId="0" fontId="9" fillId="2" borderId="19" xfId="1" applyFont="1" applyFill="1" applyBorder="1" applyAlignment="1">
      <alignment vertical="center"/>
    </xf>
    <xf numFmtId="0" fontId="7" fillId="3" borderId="19" xfId="1" applyFont="1" applyFill="1" applyBorder="1" applyAlignment="1">
      <alignment vertical="center"/>
    </xf>
    <xf numFmtId="0" fontId="7" fillId="3" borderId="18" xfId="1" applyFont="1" applyFill="1" applyBorder="1" applyAlignment="1">
      <alignment vertical="center"/>
    </xf>
    <xf numFmtId="0" fontId="7" fillId="3" borderId="20" xfId="1" applyFont="1" applyFill="1" applyBorder="1" applyAlignment="1">
      <alignment vertical="center"/>
    </xf>
    <xf numFmtId="0" fontId="7" fillId="11" borderId="19" xfId="1" applyFont="1" applyFill="1" applyBorder="1" applyAlignment="1">
      <alignment vertical="center"/>
    </xf>
    <xf numFmtId="1" fontId="22" fillId="11" borderId="19" xfId="1" applyNumberFormat="1" applyFont="1" applyFill="1" applyBorder="1" applyAlignment="1">
      <alignment vertical="center"/>
    </xf>
    <xf numFmtId="3" fontId="22" fillId="3" borderId="20" xfId="1" applyNumberFormat="1" applyFont="1" applyFill="1" applyBorder="1" applyAlignment="1">
      <alignment vertical="center" wrapText="1"/>
    </xf>
    <xf numFmtId="3" fontId="7" fillId="3" borderId="19" xfId="1" applyNumberFormat="1" applyFont="1" applyFill="1" applyBorder="1" applyAlignment="1">
      <alignment vertical="center" wrapText="1"/>
    </xf>
    <xf numFmtId="3" fontId="7" fillId="3" borderId="20" xfId="1" applyNumberFormat="1" applyFont="1" applyFill="1" applyBorder="1" applyAlignment="1">
      <alignment vertical="center" wrapText="1"/>
    </xf>
    <xf numFmtId="9" fontId="23" fillId="11" borderId="19" xfId="1" applyNumberFormat="1" applyFont="1" applyFill="1" applyBorder="1" applyAlignment="1">
      <alignment vertical="center" wrapText="1"/>
    </xf>
    <xf numFmtId="0" fontId="6" fillId="3" borderId="19" xfId="1" applyFont="1" applyFill="1" applyBorder="1" applyAlignment="1">
      <alignment vertical="center" wrapText="1"/>
    </xf>
    <xf numFmtId="0" fontId="6" fillId="3" borderId="20" xfId="1" applyFont="1" applyFill="1" applyBorder="1" applyAlignment="1">
      <alignment vertical="center" wrapText="1"/>
    </xf>
    <xf numFmtId="0" fontId="24" fillId="11" borderId="19" xfId="1" applyFont="1" applyFill="1" applyBorder="1" applyAlignment="1">
      <alignment vertical="center" wrapText="1"/>
    </xf>
    <xf numFmtId="1" fontId="23" fillId="3" borderId="18" xfId="1" applyNumberFormat="1" applyFont="1" applyFill="1" applyBorder="1" applyAlignment="1">
      <alignment horizontal="right" vertical="center"/>
    </xf>
    <xf numFmtId="1" fontId="23" fillId="17" borderId="18" xfId="1" applyNumberFormat="1" applyFont="1" applyFill="1" applyBorder="1" applyAlignment="1">
      <alignment horizontal="right" vertical="center"/>
    </xf>
    <xf numFmtId="1" fontId="23" fillId="17" borderId="55" xfId="1" applyNumberFormat="1" applyFont="1" applyFill="1" applyBorder="1" applyAlignment="1">
      <alignment vertical="center"/>
    </xf>
    <xf numFmtId="1" fontId="20" fillId="7" borderId="19" xfId="4" applyNumberFormat="1" applyFont="1" applyFill="1" applyBorder="1" applyAlignment="1" applyProtection="1">
      <protection locked="0"/>
    </xf>
    <xf numFmtId="1" fontId="20" fillId="7" borderId="18" xfId="4" applyNumberFormat="1" applyFont="1" applyFill="1" applyBorder="1" applyAlignment="1" applyProtection="1">
      <protection locked="0"/>
    </xf>
    <xf numFmtId="1" fontId="20" fillId="7" borderId="20" xfId="4" applyNumberFormat="1" applyFont="1" applyFill="1" applyBorder="1" applyAlignment="1" applyProtection="1">
      <protection locked="0"/>
    </xf>
    <xf numFmtId="3" fontId="23" fillId="17" borderId="21" xfId="0" applyNumberFormat="1" applyFont="1" applyFill="1" applyBorder="1" applyAlignment="1">
      <alignment vertical="center"/>
    </xf>
    <xf numFmtId="0" fontId="25" fillId="2" borderId="19" xfId="1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1" fontId="23" fillId="17" borderId="19" xfId="0" applyNumberFormat="1" applyFont="1" applyFill="1" applyBorder="1" applyAlignment="1">
      <alignment vertical="center"/>
    </xf>
    <xf numFmtId="1" fontId="23" fillId="17" borderId="21" xfId="0" applyNumberFormat="1" applyFont="1" applyFill="1" applyBorder="1" applyAlignment="1">
      <alignment vertical="center"/>
    </xf>
    <xf numFmtId="3" fontId="22" fillId="0" borderId="19" xfId="0" applyNumberFormat="1" applyFont="1" applyFill="1" applyBorder="1" applyAlignment="1">
      <alignment vertical="center"/>
    </xf>
    <xf numFmtId="3" fontId="22" fillId="0" borderId="20" xfId="0" applyNumberFormat="1" applyFont="1" applyFill="1" applyBorder="1" applyAlignment="1">
      <alignment vertical="center"/>
    </xf>
    <xf numFmtId="165" fontId="22" fillId="0" borderId="18" xfId="0" applyNumberFormat="1" applyFont="1" applyFill="1" applyBorder="1" applyAlignment="1">
      <alignment vertical="center"/>
    </xf>
    <xf numFmtId="1" fontId="22" fillId="0" borderId="20" xfId="1" applyNumberFormat="1" applyFont="1" applyFill="1" applyBorder="1" applyAlignment="1">
      <alignment vertical="center"/>
    </xf>
    <xf numFmtId="3" fontId="22" fillId="0" borderId="19" xfId="1" applyNumberFormat="1" applyFont="1" applyFill="1" applyBorder="1" applyAlignment="1">
      <alignment vertical="center"/>
    </xf>
    <xf numFmtId="3" fontId="22" fillId="0" borderId="20" xfId="1" applyNumberFormat="1" applyFont="1" applyFill="1" applyBorder="1" applyAlignment="1">
      <alignment vertical="center"/>
    </xf>
    <xf numFmtId="1" fontId="25" fillId="0" borderId="19" xfId="1" applyNumberFormat="1" applyFont="1" applyFill="1" applyBorder="1" applyAlignment="1">
      <alignment horizontal="right" vertical="center" wrapText="1" indent="1"/>
    </xf>
    <xf numFmtId="3" fontId="23" fillId="0" borderId="19" xfId="0" applyNumberFormat="1" applyFont="1" applyFill="1" applyBorder="1" applyAlignment="1" applyProtection="1">
      <alignment vertical="center"/>
      <protection locked="0"/>
    </xf>
    <xf numFmtId="3" fontId="23" fillId="0" borderId="20" xfId="0" applyNumberFormat="1" applyFont="1" applyFill="1" applyBorder="1" applyAlignment="1" applyProtection="1">
      <alignment vertical="center"/>
      <protection locked="0"/>
    </xf>
    <xf numFmtId="3" fontId="23" fillId="0" borderId="20" xfId="1" applyNumberFormat="1" applyFont="1" applyFill="1" applyBorder="1" applyAlignment="1">
      <alignment vertical="center"/>
    </xf>
    <xf numFmtId="165" fontId="22" fillId="0" borderId="19" xfId="0" applyNumberFormat="1" applyFont="1" applyFill="1" applyBorder="1" applyAlignment="1">
      <alignment vertical="center"/>
    </xf>
    <xf numFmtId="165" fontId="22" fillId="0" borderId="19" xfId="0" applyNumberFormat="1" applyFont="1" applyFill="1" applyBorder="1" applyAlignment="1">
      <alignment horizontal="right" vertical="center" indent="1"/>
    </xf>
    <xf numFmtId="165" fontId="22" fillId="0" borderId="20" xfId="0" applyNumberFormat="1" applyFont="1" applyFill="1" applyBorder="1" applyAlignment="1">
      <alignment vertical="center"/>
    </xf>
    <xf numFmtId="1" fontId="23" fillId="0" borderId="19" xfId="1" applyNumberFormat="1" applyFont="1" applyFill="1" applyBorder="1" applyAlignment="1">
      <alignment horizontal="right" vertical="center" indent="1"/>
    </xf>
    <xf numFmtId="3" fontId="23" fillId="0" borderId="19" xfId="0" applyNumberFormat="1" applyFont="1" applyFill="1" applyBorder="1" applyAlignment="1">
      <alignment horizontal="right" vertical="center" indent="1"/>
    </xf>
    <xf numFmtId="3" fontId="23" fillId="0" borderId="19" xfId="0" applyNumberFormat="1" applyFont="1" applyFill="1" applyBorder="1" applyAlignment="1">
      <alignment vertical="center"/>
    </xf>
    <xf numFmtId="3" fontId="23" fillId="0" borderId="20" xfId="0" applyNumberFormat="1" applyFont="1" applyFill="1" applyBorder="1" applyAlignment="1">
      <alignment vertical="center"/>
    </xf>
    <xf numFmtId="3" fontId="23" fillId="0" borderId="19" xfId="0" applyNumberFormat="1" applyFont="1" applyFill="1" applyBorder="1" applyAlignment="1" applyProtection="1">
      <alignment vertical="center" wrapText="1"/>
      <protection locked="0"/>
    </xf>
    <xf numFmtId="3" fontId="23" fillId="0" borderId="19" xfId="0" applyNumberFormat="1" applyFont="1" applyFill="1" applyBorder="1" applyAlignment="1" applyProtection="1">
      <alignment horizontal="right" vertical="center" wrapText="1"/>
      <protection locked="0"/>
    </xf>
    <xf numFmtId="3" fontId="22" fillId="0" borderId="19" xfId="0" applyNumberFormat="1" applyFont="1" applyFill="1" applyBorder="1" applyAlignment="1" applyProtection="1">
      <alignment vertical="center" wrapText="1"/>
      <protection locked="0"/>
    </xf>
    <xf numFmtId="3" fontId="22" fillId="0" borderId="19" xfId="0" applyNumberFormat="1" applyFont="1" applyFill="1" applyBorder="1" applyAlignment="1" applyProtection="1">
      <alignment horizontal="right" vertical="center" indent="1"/>
      <protection locked="0"/>
    </xf>
    <xf numFmtId="3" fontId="22" fillId="0" borderId="20" xfId="0" applyNumberFormat="1" applyFont="1" applyFill="1" applyBorder="1" applyAlignment="1" applyProtection="1">
      <alignment horizontal="right" vertical="center" indent="1"/>
      <protection locked="0"/>
    </xf>
    <xf numFmtId="3" fontId="23" fillId="0" borderId="19" xfId="0" applyNumberFormat="1" applyFont="1" applyFill="1" applyBorder="1" applyAlignment="1" applyProtection="1">
      <alignment horizontal="right" vertical="center" indent="1"/>
      <protection locked="0"/>
    </xf>
    <xf numFmtId="3" fontId="22" fillId="0" borderId="26" xfId="4" applyNumberFormat="1" applyFont="1" applyFill="1" applyBorder="1" applyAlignment="1" applyProtection="1">
      <alignment horizontal="right"/>
      <protection locked="0"/>
    </xf>
    <xf numFmtId="3" fontId="22" fillId="0" borderId="27" xfId="4" applyNumberFormat="1" applyFont="1" applyFill="1" applyBorder="1" applyAlignment="1" applyProtection="1">
      <alignment horizontal="right"/>
      <protection locked="0"/>
    </xf>
    <xf numFmtId="164" fontId="22" fillId="0" borderId="26" xfId="4" applyNumberFormat="1" applyFont="1" applyFill="1" applyBorder="1" applyAlignment="1" applyProtection="1">
      <alignment horizontal="right"/>
      <protection locked="0"/>
    </xf>
    <xf numFmtId="164" fontId="22" fillId="0" borderId="27" xfId="4" applyNumberFormat="1" applyFont="1" applyFill="1" applyBorder="1" applyAlignment="1" applyProtection="1">
      <alignment horizontal="right"/>
      <protection locked="0"/>
    </xf>
    <xf numFmtId="3" fontId="22" fillId="0" borderId="26" xfId="4" applyNumberFormat="1" applyFont="1" applyFill="1" applyBorder="1" applyAlignment="1">
      <alignment horizontal="right"/>
    </xf>
    <xf numFmtId="3" fontId="22" fillId="0" borderId="27" xfId="4" applyNumberFormat="1" applyFont="1" applyFill="1" applyBorder="1" applyAlignment="1">
      <alignment horizontal="right"/>
    </xf>
    <xf numFmtId="3" fontId="22" fillId="0" borderId="26" xfId="1" applyNumberFormat="1" applyFont="1" applyFill="1" applyBorder="1" applyAlignment="1">
      <alignment vertical="center" wrapText="1"/>
    </xf>
    <xf numFmtId="3" fontId="22" fillId="0" borderId="27" xfId="1" applyNumberFormat="1" applyFont="1" applyFill="1" applyBorder="1" applyAlignment="1">
      <alignment vertical="center" wrapText="1"/>
    </xf>
    <xf numFmtId="1" fontId="23" fillId="0" borderId="26" xfId="1" applyNumberFormat="1" applyFont="1" applyFill="1" applyBorder="1" applyAlignment="1">
      <alignment vertical="center"/>
    </xf>
    <xf numFmtId="1" fontId="23" fillId="0" borderId="26" xfId="1" applyNumberFormat="1" applyFont="1" applyFill="1" applyBorder="1" applyAlignment="1">
      <alignment horizontal="right" vertical="center" indent="1"/>
    </xf>
    <xf numFmtId="1" fontId="23" fillId="0" borderId="27" xfId="1" applyNumberFormat="1" applyFont="1" applyFill="1" applyBorder="1" applyAlignment="1">
      <alignment vertical="center"/>
    </xf>
    <xf numFmtId="1" fontId="23" fillId="0" borderId="27" xfId="1" applyNumberFormat="1" applyFont="1" applyFill="1" applyBorder="1" applyAlignment="1">
      <alignment horizontal="right" vertical="center" indent="1"/>
    </xf>
    <xf numFmtId="1" fontId="23" fillId="0" borderId="57" xfId="1" applyNumberFormat="1" applyFont="1" applyFill="1" applyBorder="1" applyAlignment="1">
      <alignment vertical="center"/>
    </xf>
    <xf numFmtId="1" fontId="23" fillId="0" borderId="57" xfId="1" applyNumberFormat="1" applyFont="1" applyFill="1" applyBorder="1" applyAlignment="1">
      <alignment horizontal="right" vertical="center" indent="1"/>
    </xf>
    <xf numFmtId="1" fontId="23" fillId="0" borderId="60" xfId="1" applyNumberFormat="1" applyFont="1" applyFill="1" applyBorder="1" applyAlignment="1">
      <alignment horizontal="right" vertical="center" indent="1"/>
    </xf>
    <xf numFmtId="3" fontId="22" fillId="0" borderId="19" xfId="4" applyNumberFormat="1" applyFont="1" applyFill="1" applyBorder="1" applyAlignment="1" applyProtection="1">
      <alignment horizontal="right"/>
      <protection locked="0"/>
    </xf>
    <xf numFmtId="3" fontId="7" fillId="0" borderId="19" xfId="0" applyNumberFormat="1" applyFont="1" applyFill="1" applyBorder="1" applyAlignment="1">
      <alignment horizontal="right" vertical="center" indent="1"/>
    </xf>
    <xf numFmtId="3" fontId="22" fillId="0" borderId="20" xfId="4" applyNumberFormat="1" applyFont="1" applyFill="1" applyBorder="1" applyAlignment="1" applyProtection="1">
      <alignment horizontal="right"/>
      <protection locked="0"/>
    </xf>
    <xf numFmtId="2" fontId="7" fillId="0" borderId="19" xfId="0" applyNumberFormat="1" applyFont="1" applyFill="1" applyBorder="1" applyAlignment="1">
      <alignment horizontal="right" vertical="center" indent="1"/>
    </xf>
    <xf numFmtId="4" fontId="7" fillId="0" borderId="19" xfId="0" applyNumberFormat="1" applyFont="1" applyFill="1" applyBorder="1" applyAlignment="1">
      <alignment horizontal="right" vertical="center" indent="1"/>
    </xf>
    <xf numFmtId="164" fontId="22" fillId="0" borderId="20" xfId="4" applyNumberFormat="1" applyFont="1" applyFill="1" applyBorder="1" applyAlignment="1" applyProtection="1">
      <alignment horizontal="right"/>
      <protection locked="0"/>
    </xf>
    <xf numFmtId="3" fontId="22" fillId="0" borderId="19" xfId="4" applyNumberFormat="1" applyFont="1" applyFill="1" applyBorder="1" applyAlignment="1">
      <alignment horizontal="right"/>
    </xf>
    <xf numFmtId="3" fontId="22" fillId="0" borderId="20" xfId="4" applyNumberFormat="1" applyFont="1" applyFill="1" applyBorder="1" applyAlignment="1">
      <alignment horizontal="right"/>
    </xf>
    <xf numFmtId="3" fontId="22" fillId="0" borderId="20" xfId="1" applyNumberFormat="1" applyFont="1" applyFill="1" applyBorder="1" applyAlignment="1">
      <alignment vertical="center" wrapText="1"/>
    </xf>
    <xf numFmtId="1" fontId="23" fillId="0" borderId="18" xfId="1" applyNumberFormat="1" applyFont="1" applyFill="1" applyBorder="1" applyAlignment="1">
      <alignment vertical="center"/>
    </xf>
    <xf numFmtId="1" fontId="23" fillId="0" borderId="20" xfId="1" applyNumberFormat="1" applyFont="1" applyFill="1" applyBorder="1" applyAlignment="1">
      <alignment vertical="center"/>
    </xf>
    <xf numFmtId="1" fontId="23" fillId="0" borderId="20" xfId="1" applyNumberFormat="1" applyFont="1" applyFill="1" applyBorder="1" applyAlignment="1">
      <alignment horizontal="right" vertical="center" indent="1"/>
    </xf>
    <xf numFmtId="1" fontId="23" fillId="0" borderId="21" xfId="1" applyNumberFormat="1" applyFont="1" applyFill="1" applyBorder="1" applyAlignment="1">
      <alignment vertical="center"/>
    </xf>
    <xf numFmtId="1" fontId="23" fillId="0" borderId="21" xfId="1" applyNumberFormat="1" applyFont="1" applyFill="1" applyBorder="1" applyAlignment="1">
      <alignment horizontal="right" vertical="center" indent="1"/>
    </xf>
    <xf numFmtId="1" fontId="23" fillId="0" borderId="44" xfId="1" applyNumberFormat="1" applyFont="1" applyFill="1" applyBorder="1" applyAlignment="1">
      <alignment horizontal="right" vertical="center" indent="1"/>
    </xf>
    <xf numFmtId="0" fontId="3" fillId="2" borderId="20" xfId="1" applyFont="1" applyFill="1" applyBorder="1" applyAlignment="1">
      <alignment horizontal="center"/>
    </xf>
    <xf numFmtId="165" fontId="22" fillId="3" borderId="0" xfId="0" applyNumberFormat="1" applyFont="1" applyFill="1" applyBorder="1" applyAlignment="1">
      <alignment vertical="center"/>
    </xf>
    <xf numFmtId="3" fontId="22" fillId="0" borderId="0" xfId="0" applyNumberFormat="1" applyFont="1"/>
    <xf numFmtId="3" fontId="23" fillId="3" borderId="20" xfId="0" applyNumberFormat="1" applyFont="1" applyFill="1" applyBorder="1" applyAlignment="1" applyProtection="1">
      <alignment vertical="center" wrapText="1"/>
      <protection locked="0"/>
    </xf>
    <xf numFmtId="0" fontId="23" fillId="2" borderId="20" xfId="0" applyFont="1" applyFill="1" applyBorder="1"/>
    <xf numFmtId="3" fontId="22" fillId="0" borderId="0" xfId="0" applyNumberFormat="1" applyFont="1" applyFill="1"/>
    <xf numFmtId="0" fontId="21" fillId="0" borderId="20" xfId="4" applyFont="1" applyFill="1" applyBorder="1" applyAlignment="1" applyProtection="1">
      <alignment vertical="center"/>
      <protection locked="0"/>
    </xf>
    <xf numFmtId="3" fontId="23" fillId="28" borderId="20" xfId="0" applyNumberFormat="1" applyFont="1" applyFill="1" applyBorder="1" applyAlignment="1">
      <alignment horizontal="center" vertical="center"/>
    </xf>
    <xf numFmtId="1" fontId="7" fillId="3" borderId="20" xfId="0" applyNumberFormat="1" applyFont="1" applyFill="1" applyBorder="1" applyAlignment="1">
      <alignment vertical="center"/>
    </xf>
    <xf numFmtId="3" fontId="22" fillId="0" borderId="20" xfId="4" applyNumberFormat="1" applyFont="1" applyFill="1" applyBorder="1" applyAlignment="1" applyProtection="1">
      <alignment horizontal="right" vertical="center"/>
      <protection locked="0"/>
    </xf>
    <xf numFmtId="164" fontId="22" fillId="3" borderId="20" xfId="0" applyNumberFormat="1" applyFont="1" applyFill="1" applyBorder="1" applyAlignment="1">
      <alignment vertical="center"/>
    </xf>
    <xf numFmtId="1" fontId="22" fillId="0" borderId="20" xfId="4" applyNumberFormat="1" applyFont="1" applyFill="1" applyBorder="1" applyAlignment="1" applyProtection="1">
      <alignment horizontal="right" vertical="center"/>
      <protection locked="0"/>
    </xf>
    <xf numFmtId="1" fontId="22" fillId="10" borderId="20" xfId="1" applyNumberFormat="1" applyFont="1" applyFill="1" applyBorder="1" applyAlignment="1">
      <alignment horizontal="center" vertical="center"/>
    </xf>
    <xf numFmtId="164" fontId="22" fillId="2" borderId="27" xfId="4" applyNumberFormat="1" applyFont="1" applyFill="1" applyBorder="1" applyAlignment="1" applyProtection="1">
      <alignment horizontal="right"/>
      <protection locked="0"/>
    </xf>
    <xf numFmtId="3" fontId="22" fillId="2" borderId="27" xfId="4" applyNumberFormat="1" applyFont="1" applyFill="1" applyBorder="1" applyAlignment="1"/>
    <xf numFmtId="1" fontId="23" fillId="3" borderId="27" xfId="1" applyNumberFormat="1" applyFont="1" applyFill="1" applyBorder="1" applyAlignment="1">
      <alignment vertical="center"/>
    </xf>
    <xf numFmtId="9" fontId="23" fillId="3" borderId="27" xfId="1" applyNumberFormat="1" applyFont="1" applyFill="1" applyBorder="1" applyAlignment="1">
      <alignment vertical="center"/>
    </xf>
    <xf numFmtId="1" fontId="10" fillId="3" borderId="27" xfId="1" applyNumberFormat="1" applyFont="1" applyFill="1" applyBorder="1" applyAlignment="1">
      <alignment horizontal="right" vertical="center" indent="1"/>
    </xf>
    <xf numFmtId="0" fontId="7" fillId="3" borderId="27" xfId="1" applyFont="1" applyFill="1" applyBorder="1" applyAlignment="1">
      <alignment horizontal="right" vertical="center" indent="1"/>
    </xf>
    <xf numFmtId="167" fontId="22" fillId="0" borderId="27" xfId="4" applyNumberFormat="1" applyFont="1" applyBorder="1"/>
    <xf numFmtId="9" fontId="23" fillId="3" borderId="27" xfId="1" applyNumberFormat="1" applyFont="1" applyFill="1" applyBorder="1" applyAlignment="1">
      <alignment vertical="center" wrapText="1"/>
    </xf>
    <xf numFmtId="1" fontId="22" fillId="5" borderId="0" xfId="4" applyNumberFormat="1" applyFont="1" applyFill="1" applyBorder="1" applyAlignment="1" applyProtection="1">
      <alignment horizontal="right"/>
      <protection locked="0"/>
    </xf>
    <xf numFmtId="1" fontId="23" fillId="0" borderId="10" xfId="1" applyNumberFormat="1" applyFont="1" applyFill="1" applyBorder="1" applyAlignment="1">
      <alignment vertical="center"/>
    </xf>
    <xf numFmtId="3" fontId="10" fillId="3" borderId="27" xfId="1" applyNumberFormat="1" applyFont="1" applyFill="1" applyBorder="1" applyAlignment="1">
      <alignment vertical="center" wrapText="1"/>
    </xf>
    <xf numFmtId="1" fontId="23" fillId="3" borderId="60" xfId="1" applyNumberFormat="1" applyFont="1" applyFill="1" applyBorder="1" applyAlignment="1">
      <alignment vertical="center"/>
    </xf>
    <xf numFmtId="0" fontId="0" fillId="0" borderId="20" xfId="0" applyBorder="1" applyAlignment="1">
      <alignment horizontal="right"/>
    </xf>
    <xf numFmtId="1" fontId="7" fillId="3" borderId="0" xfId="1" applyNumberFormat="1" applyFont="1" applyFill="1" applyBorder="1"/>
    <xf numFmtId="0" fontId="20" fillId="7" borderId="20" xfId="4" applyFont="1" applyFill="1" applyBorder="1" applyAlignment="1" applyProtection="1">
      <alignment horizontal="right"/>
      <protection locked="0"/>
    </xf>
    <xf numFmtId="3" fontId="7" fillId="3" borderId="0" xfId="0" applyNumberFormat="1" applyFont="1" applyFill="1" applyBorder="1" applyAlignment="1">
      <alignment horizontal="right" vertical="center" indent="1"/>
    </xf>
    <xf numFmtId="1" fontId="23" fillId="3" borderId="44" xfId="1" applyNumberFormat="1" applyFont="1" applyFill="1" applyBorder="1" applyAlignment="1">
      <alignment vertical="center"/>
    </xf>
    <xf numFmtId="1" fontId="22" fillId="0" borderId="0" xfId="0" applyNumberFormat="1" applyFont="1"/>
    <xf numFmtId="0" fontId="10" fillId="0" borderId="16" xfId="1" applyFont="1" applyFill="1" applyBorder="1" applyAlignment="1">
      <alignment horizontal="right" vertical="center" indent="1"/>
    </xf>
    <xf numFmtId="9" fontId="30" fillId="0" borderId="19" xfId="1" applyNumberFormat="1" applyFont="1" applyFill="1" applyBorder="1" applyAlignment="1">
      <alignment vertical="center"/>
    </xf>
    <xf numFmtId="0" fontId="10" fillId="0" borderId="18" xfId="1" applyFont="1" applyFill="1" applyBorder="1" applyAlignment="1">
      <alignment horizontal="left" vertical="center" indent="1"/>
    </xf>
    <xf numFmtId="0" fontId="10" fillId="0" borderId="51" xfId="1" applyFont="1" applyFill="1" applyBorder="1" applyAlignment="1">
      <alignment horizontal="left" vertical="center" indent="1"/>
    </xf>
    <xf numFmtId="1" fontId="30" fillId="0" borderId="19" xfId="1" applyNumberFormat="1" applyFont="1" applyFill="1" applyBorder="1" applyAlignment="1">
      <alignment vertical="center"/>
    </xf>
    <xf numFmtId="0" fontId="24" fillId="2" borderId="1" xfId="2" applyFont="1" applyFill="1" applyBorder="1" applyAlignment="1" applyProtection="1">
      <alignment horizontal="left"/>
      <protection locked="0"/>
    </xf>
    <xf numFmtId="0" fontId="10" fillId="0" borderId="1" xfId="1" applyFont="1" applyFill="1" applyBorder="1" applyAlignment="1">
      <alignment horizontal="left" vertical="center" indent="1"/>
    </xf>
    <xf numFmtId="0" fontId="10" fillId="2" borderId="18" xfId="1" applyFont="1" applyFill="1" applyBorder="1" applyAlignment="1">
      <alignment horizontal="left" vertical="center" indent="1"/>
    </xf>
    <xf numFmtId="3" fontId="22" fillId="0" borderId="20" xfId="0" applyNumberFormat="1" applyFont="1" applyFill="1" applyBorder="1"/>
    <xf numFmtId="164" fontId="22" fillId="0" borderId="20" xfId="0" applyNumberFormat="1" applyFont="1" applyFill="1" applyBorder="1" applyAlignment="1" applyProtection="1">
      <alignment vertical="center"/>
      <protection locked="0"/>
    </xf>
    <xf numFmtId="3" fontId="22" fillId="24" borderId="27" xfId="4" applyNumberFormat="1" applyFont="1" applyFill="1" applyBorder="1" applyAlignment="1" applyProtection="1">
      <alignment horizontal="right"/>
      <protection locked="0"/>
    </xf>
    <xf numFmtId="3" fontId="22" fillId="0" borderId="16" xfId="4" applyNumberFormat="1" applyFont="1" applyFill="1" applyBorder="1" applyAlignment="1" applyProtection="1">
      <alignment horizontal="right"/>
      <protection locked="0"/>
    </xf>
    <xf numFmtId="3" fontId="22" fillId="0" borderId="19" xfId="0" applyNumberFormat="1" applyFont="1" applyBorder="1"/>
    <xf numFmtId="0" fontId="0" fillId="24" borderId="20" xfId="0" applyFill="1" applyBorder="1"/>
    <xf numFmtId="0" fontId="21" fillId="24" borderId="20" xfId="4" applyFont="1" applyFill="1" applyBorder="1" applyAlignment="1" applyProtection="1">
      <alignment horizontal="center" vertical="center"/>
      <protection locked="0"/>
    </xf>
    <xf numFmtId="3" fontId="22" fillId="23" borderId="19" xfId="0" applyNumberFormat="1" applyFont="1" applyFill="1" applyBorder="1" applyAlignment="1">
      <alignment vertical="center"/>
    </xf>
    <xf numFmtId="1" fontId="23" fillId="23" borderId="19" xfId="1" applyNumberFormat="1" applyFont="1" applyFill="1" applyBorder="1" applyAlignment="1">
      <alignment vertical="center"/>
    </xf>
    <xf numFmtId="1" fontId="23" fillId="23" borderId="20" xfId="1" applyNumberFormat="1" applyFont="1" applyFill="1" applyBorder="1" applyAlignment="1">
      <alignment vertical="center"/>
    </xf>
    <xf numFmtId="9" fontId="23" fillId="23" borderId="19" xfId="1" applyNumberFormat="1" applyFont="1" applyFill="1" applyBorder="1" applyAlignment="1">
      <alignment vertical="center"/>
    </xf>
    <xf numFmtId="9" fontId="23" fillId="23" borderId="20" xfId="1" applyNumberFormat="1" applyFont="1" applyFill="1" applyBorder="1" applyAlignment="1">
      <alignment vertical="center"/>
    </xf>
    <xf numFmtId="9" fontId="10" fillId="23" borderId="19" xfId="1" applyNumberFormat="1" applyFont="1" applyFill="1" applyBorder="1" applyAlignment="1">
      <alignment horizontal="right" vertical="center" indent="1"/>
    </xf>
    <xf numFmtId="9" fontId="10" fillId="23" borderId="20" xfId="1" applyNumberFormat="1" applyFont="1" applyFill="1" applyBorder="1" applyAlignment="1">
      <alignment horizontal="right" vertical="center" indent="1"/>
    </xf>
    <xf numFmtId="1" fontId="22" fillId="23" borderId="19" xfId="1" applyNumberFormat="1" applyFont="1" applyFill="1" applyBorder="1" applyAlignment="1">
      <alignment vertical="center"/>
    </xf>
    <xf numFmtId="3" fontId="22" fillId="23" borderId="19" xfId="1" applyNumberFormat="1" applyFont="1" applyFill="1" applyBorder="1" applyAlignment="1">
      <alignment vertical="center"/>
    </xf>
    <xf numFmtId="3" fontId="22" fillId="24" borderId="0" xfId="0" applyNumberFormat="1" applyFont="1" applyFill="1"/>
    <xf numFmtId="3" fontId="22" fillId="23" borderId="20" xfId="1" applyNumberFormat="1" applyFont="1" applyFill="1" applyBorder="1" applyAlignment="1">
      <alignment vertical="center"/>
    </xf>
    <xf numFmtId="3" fontId="20" fillId="29" borderId="20" xfId="4" applyNumberFormat="1" applyFont="1" applyFill="1" applyBorder="1" applyAlignment="1" applyProtection="1">
      <alignment horizontal="right" vertical="center"/>
      <protection locked="0"/>
    </xf>
    <xf numFmtId="3" fontId="23" fillId="23" borderId="19" xfId="1" applyNumberFormat="1" applyFont="1" applyFill="1" applyBorder="1" applyAlignment="1">
      <alignment vertical="center"/>
    </xf>
    <xf numFmtId="3" fontId="20" fillId="29" borderId="19" xfId="4" applyNumberFormat="1" applyFont="1" applyFill="1" applyBorder="1" applyAlignment="1" applyProtection="1">
      <alignment vertical="center"/>
      <protection locked="0"/>
    </xf>
    <xf numFmtId="3" fontId="20" fillId="29" borderId="20" xfId="4" applyNumberFormat="1" applyFont="1" applyFill="1" applyBorder="1" applyAlignment="1" applyProtection="1">
      <alignment vertical="center"/>
      <protection locked="0"/>
    </xf>
    <xf numFmtId="1" fontId="20" fillId="29" borderId="19" xfId="4" applyNumberFormat="1" applyFont="1" applyFill="1" applyBorder="1" applyAlignment="1" applyProtection="1">
      <alignment vertical="center"/>
      <protection locked="0"/>
    </xf>
    <xf numFmtId="0" fontId="6" fillId="24" borderId="20" xfId="1" applyFont="1" applyFill="1" applyBorder="1" applyAlignment="1">
      <alignment vertical="center"/>
    </xf>
    <xf numFmtId="0" fontId="3" fillId="24" borderId="20" xfId="4" applyFont="1" applyFill="1" applyBorder="1" applyAlignment="1" applyProtection="1">
      <alignment horizontal="center" vertical="center"/>
      <protection locked="0"/>
    </xf>
    <xf numFmtId="3" fontId="22" fillId="23" borderId="20" xfId="0" applyNumberFormat="1" applyFont="1" applyFill="1" applyBorder="1" applyAlignment="1">
      <alignment horizontal="right" vertical="center" indent="1"/>
    </xf>
    <xf numFmtId="3" fontId="22" fillId="24" borderId="19" xfId="0" applyNumberFormat="1" applyFont="1" applyFill="1" applyBorder="1"/>
    <xf numFmtId="165" fontId="22" fillId="23" borderId="19" xfId="0" applyNumberFormat="1" applyFont="1" applyFill="1" applyBorder="1" applyAlignment="1">
      <alignment horizontal="right" vertical="center" indent="1"/>
    </xf>
    <xf numFmtId="164" fontId="22" fillId="24" borderId="19" xfId="0" applyNumberFormat="1" applyFont="1" applyFill="1" applyBorder="1" applyAlignment="1" applyProtection="1">
      <alignment vertical="center"/>
      <protection locked="0"/>
    </xf>
    <xf numFmtId="3" fontId="22" fillId="23" borderId="19" xfId="0" applyNumberFormat="1" applyFont="1" applyFill="1" applyBorder="1" applyAlignment="1">
      <alignment horizontal="right" vertical="center" indent="1"/>
    </xf>
    <xf numFmtId="0" fontId="23" fillId="23" borderId="19" xfId="1" applyFont="1" applyFill="1" applyBorder="1" applyAlignment="1">
      <alignment horizontal="right" vertical="center" indent="1"/>
    </xf>
    <xf numFmtId="0" fontId="23" fillId="23" borderId="20" xfId="1" applyFont="1" applyFill="1" applyBorder="1" applyAlignment="1">
      <alignment horizontal="right" vertical="center" indent="1"/>
    </xf>
    <xf numFmtId="3" fontId="30" fillId="23" borderId="19" xfId="1" applyNumberFormat="1" applyFont="1" applyFill="1" applyBorder="1" applyAlignment="1">
      <alignment vertical="center"/>
    </xf>
    <xf numFmtId="9" fontId="30" fillId="23" borderId="19" xfId="1" applyNumberFormat="1" applyFont="1" applyFill="1" applyBorder="1" applyAlignment="1">
      <alignment vertical="center"/>
    </xf>
    <xf numFmtId="9" fontId="23" fillId="23" borderId="19" xfId="1" applyNumberFormat="1" applyFont="1" applyFill="1" applyBorder="1" applyAlignment="1">
      <alignment horizontal="right" vertical="center" indent="1"/>
    </xf>
    <xf numFmtId="9" fontId="23" fillId="23" borderId="20" xfId="1" applyNumberFormat="1" applyFont="1" applyFill="1" applyBorder="1" applyAlignment="1">
      <alignment horizontal="right" vertical="center" indent="1"/>
    </xf>
    <xf numFmtId="0" fontId="22" fillId="23" borderId="19" xfId="1" applyFont="1" applyFill="1" applyBorder="1" applyAlignment="1">
      <alignment horizontal="right" vertical="center" indent="1"/>
    </xf>
    <xf numFmtId="0" fontId="22" fillId="23" borderId="20" xfId="1" applyFont="1" applyFill="1" applyBorder="1" applyAlignment="1">
      <alignment horizontal="right" vertical="center" indent="1"/>
    </xf>
    <xf numFmtId="1" fontId="22" fillId="23" borderId="19" xfId="1" applyNumberFormat="1" applyFont="1" applyFill="1" applyBorder="1"/>
    <xf numFmtId="1" fontId="22" fillId="23" borderId="20" xfId="1" applyNumberFormat="1" applyFont="1" applyFill="1" applyBorder="1"/>
    <xf numFmtId="3" fontId="22" fillId="24" borderId="19" xfId="0" applyNumberFormat="1" applyFont="1" applyFill="1" applyBorder="1" applyAlignment="1">
      <alignment horizontal="right" vertical="center" indent="1"/>
    </xf>
    <xf numFmtId="3" fontId="22" fillId="24" borderId="20" xfId="0" applyNumberFormat="1" applyFont="1" applyFill="1" applyBorder="1" applyAlignment="1">
      <alignment horizontal="right" vertical="center" indent="1"/>
    </xf>
    <xf numFmtId="3" fontId="22" fillId="23" borderId="19" xfId="1" applyNumberFormat="1" applyFont="1" applyFill="1" applyBorder="1" applyAlignment="1">
      <alignment vertical="center" wrapText="1"/>
    </xf>
    <xf numFmtId="3" fontId="22" fillId="23" borderId="20" xfId="1" applyNumberFormat="1" applyFont="1" applyFill="1" applyBorder="1" applyAlignment="1">
      <alignment vertical="center" wrapText="1"/>
    </xf>
    <xf numFmtId="1" fontId="20" fillId="29" borderId="20" xfId="4" applyNumberFormat="1" applyFont="1" applyFill="1" applyBorder="1" applyAlignment="1" applyProtection="1">
      <alignment vertical="center"/>
      <protection locked="0"/>
    </xf>
    <xf numFmtId="3" fontId="23" fillId="23" borderId="19" xfId="0" applyNumberFormat="1" applyFont="1" applyFill="1" applyBorder="1" applyAlignment="1" applyProtection="1">
      <alignment vertical="center" wrapText="1"/>
      <protection locked="0"/>
    </xf>
    <xf numFmtId="3" fontId="23" fillId="23" borderId="20" xfId="0" applyNumberFormat="1" applyFont="1" applyFill="1" applyBorder="1" applyAlignment="1" applyProtection="1">
      <alignment vertical="center" wrapText="1"/>
      <protection locked="0"/>
    </xf>
    <xf numFmtId="3" fontId="23" fillId="23" borderId="19" xfId="0" applyNumberFormat="1" applyFont="1" applyFill="1" applyBorder="1" applyAlignment="1">
      <alignment horizontal="right" vertical="center" indent="1"/>
    </xf>
    <xf numFmtId="3" fontId="23" fillId="23" borderId="20" xfId="0" applyNumberFormat="1" applyFont="1" applyFill="1" applyBorder="1" applyAlignment="1">
      <alignment horizontal="right" vertical="center" indent="1"/>
    </xf>
    <xf numFmtId="0" fontId="23" fillId="24" borderId="19" xfId="0" applyFont="1" applyFill="1" applyBorder="1"/>
    <xf numFmtId="0" fontId="23" fillId="24" borderId="20" xfId="0" applyFont="1" applyFill="1" applyBorder="1"/>
    <xf numFmtId="0" fontId="23" fillId="24" borderId="0" xfId="0" applyFont="1" applyFill="1" applyBorder="1"/>
    <xf numFmtId="0" fontId="0" fillId="24" borderId="0" xfId="0" applyFill="1" applyBorder="1"/>
    <xf numFmtId="0" fontId="30" fillId="24" borderId="0" xfId="0" applyFont="1" applyFill="1" applyBorder="1"/>
    <xf numFmtId="0" fontId="4" fillId="24" borderId="20" xfId="1" applyFont="1" applyFill="1" applyBorder="1" applyAlignment="1">
      <alignment horizontal="left"/>
    </xf>
    <xf numFmtId="0" fontId="21" fillId="24" borderId="19" xfId="4" applyFont="1" applyFill="1" applyBorder="1" applyAlignment="1" applyProtection="1">
      <alignment vertical="center"/>
      <protection locked="0"/>
    </xf>
    <xf numFmtId="0" fontId="21" fillId="24" borderId="20" xfId="4" applyFont="1" applyFill="1" applyBorder="1" applyAlignment="1" applyProtection="1">
      <alignment vertical="center"/>
      <protection locked="0"/>
    </xf>
    <xf numFmtId="3" fontId="22" fillId="24" borderId="20" xfId="4" applyNumberFormat="1" applyFont="1" applyFill="1" applyBorder="1" applyAlignment="1" applyProtection="1">
      <alignment horizontal="right" vertical="center"/>
      <protection locked="0"/>
    </xf>
    <xf numFmtId="165" fontId="22" fillId="23" borderId="19" xfId="0" applyNumberFormat="1" applyFont="1" applyFill="1" applyBorder="1" applyAlignment="1">
      <alignment vertical="center"/>
    </xf>
    <xf numFmtId="164" fontId="22" fillId="23" borderId="20" xfId="0" applyNumberFormat="1" applyFont="1" applyFill="1" applyBorder="1" applyAlignment="1">
      <alignment vertical="center"/>
    </xf>
    <xf numFmtId="1" fontId="10" fillId="23" borderId="19" xfId="1" applyNumberFormat="1" applyFont="1" applyFill="1" applyBorder="1" applyAlignment="1">
      <alignment vertical="center"/>
    </xf>
    <xf numFmtId="1" fontId="10" fillId="23" borderId="20" xfId="1" applyNumberFormat="1" applyFont="1" applyFill="1" applyBorder="1" applyAlignment="1">
      <alignment vertical="center"/>
    </xf>
    <xf numFmtId="1" fontId="30" fillId="23" borderId="19" xfId="1" applyNumberFormat="1" applyFont="1" applyFill="1" applyBorder="1" applyAlignment="1">
      <alignment vertical="center"/>
    </xf>
    <xf numFmtId="1" fontId="22" fillId="24" borderId="20" xfId="4" applyNumberFormat="1" applyFont="1" applyFill="1" applyBorder="1" applyAlignment="1" applyProtection="1">
      <alignment horizontal="right" vertical="center"/>
      <protection locked="0"/>
    </xf>
    <xf numFmtId="1" fontId="22" fillId="23" borderId="20" xfId="1" applyNumberFormat="1" applyFont="1" applyFill="1" applyBorder="1" applyAlignment="1">
      <alignment horizontal="center" vertical="center"/>
    </xf>
    <xf numFmtId="0" fontId="0" fillId="24" borderId="20" xfId="0" applyFill="1" applyBorder="1" applyAlignment="1">
      <alignment horizontal="center" vertical="center"/>
    </xf>
    <xf numFmtId="1" fontId="20" fillId="29" borderId="19" xfId="4" applyNumberFormat="1" applyFont="1" applyFill="1" applyBorder="1" applyAlignment="1" applyProtection="1">
      <alignment horizontal="right" vertical="center"/>
      <protection locked="0"/>
    </xf>
    <xf numFmtId="0" fontId="9" fillId="24" borderId="19" xfId="1" applyFont="1" applyFill="1" applyBorder="1" applyAlignment="1">
      <alignment vertical="center"/>
    </xf>
    <xf numFmtId="0" fontId="9" fillId="24" borderId="20" xfId="1" applyFont="1" applyFill="1" applyBorder="1" applyAlignment="1">
      <alignment vertical="center"/>
    </xf>
    <xf numFmtId="1" fontId="9" fillId="24" borderId="19" xfId="1" applyNumberFormat="1" applyFont="1" applyFill="1" applyBorder="1" applyAlignment="1">
      <alignment vertical="center"/>
    </xf>
    <xf numFmtId="1" fontId="9" fillId="24" borderId="20" xfId="1" applyNumberFormat="1" applyFont="1" applyFill="1" applyBorder="1" applyAlignment="1">
      <alignment vertical="center"/>
    </xf>
    <xf numFmtId="1" fontId="22" fillId="24" borderId="19" xfId="4" applyNumberFormat="1" applyFont="1" applyFill="1" applyBorder="1" applyAlignment="1" applyProtection="1">
      <alignment vertical="center"/>
      <protection locked="0"/>
    </xf>
    <xf numFmtId="1" fontId="22" fillId="24" borderId="20" xfId="4" applyNumberFormat="1" applyFont="1" applyFill="1" applyBorder="1" applyAlignment="1" applyProtection="1">
      <alignment vertical="center"/>
      <protection locked="0"/>
    </xf>
    <xf numFmtId="3" fontId="23" fillId="23" borderId="19" xfId="0" applyNumberFormat="1" applyFont="1" applyFill="1" applyBorder="1" applyAlignment="1">
      <alignment horizontal="center" vertical="center"/>
    </xf>
    <xf numFmtId="3" fontId="23" fillId="23" borderId="20" xfId="0" applyNumberFormat="1" applyFont="1" applyFill="1" applyBorder="1" applyAlignment="1">
      <alignment horizontal="center" vertical="center"/>
    </xf>
    <xf numFmtId="3" fontId="23" fillId="23" borderId="19" xfId="0" applyNumberFormat="1" applyFont="1" applyFill="1" applyBorder="1" applyAlignment="1">
      <alignment vertical="center"/>
    </xf>
    <xf numFmtId="3" fontId="23" fillId="23" borderId="20" xfId="0" applyNumberFormat="1" applyFont="1" applyFill="1" applyBorder="1" applyAlignment="1">
      <alignment vertical="center"/>
    </xf>
    <xf numFmtId="1" fontId="20" fillId="29" borderId="20" xfId="4" applyNumberFormat="1" applyFont="1" applyFill="1" applyBorder="1" applyAlignment="1" applyProtection="1">
      <alignment horizontal="right" vertical="center"/>
      <protection locked="0"/>
    </xf>
    <xf numFmtId="1" fontId="7" fillId="23" borderId="19" xfId="0" applyNumberFormat="1" applyFont="1" applyFill="1" applyBorder="1" applyAlignment="1">
      <alignment vertical="center"/>
    </xf>
    <xf numFmtId="1" fontId="7" fillId="23" borderId="20" xfId="0" applyNumberFormat="1" applyFont="1" applyFill="1" applyBorder="1" applyAlignment="1">
      <alignment vertical="center"/>
    </xf>
    <xf numFmtId="9" fontId="23" fillId="23" borderId="21" xfId="1" applyNumberFormat="1" applyFont="1" applyFill="1" applyBorder="1" applyAlignment="1">
      <alignment vertical="center"/>
    </xf>
    <xf numFmtId="9" fontId="23" fillId="23" borderId="44" xfId="1" applyNumberFormat="1" applyFont="1" applyFill="1" applyBorder="1" applyAlignment="1">
      <alignment vertical="center"/>
    </xf>
    <xf numFmtId="0" fontId="3" fillId="24" borderId="27" xfId="4" applyFont="1" applyFill="1" applyBorder="1" applyAlignment="1" applyProtection="1">
      <alignment horizontal="center" vertical="center"/>
      <protection locked="0"/>
    </xf>
    <xf numFmtId="3" fontId="22" fillId="24" borderId="26" xfId="4" applyNumberFormat="1" applyFont="1" applyFill="1" applyBorder="1" applyAlignment="1" applyProtection="1">
      <alignment horizontal="right"/>
      <protection locked="0"/>
    </xf>
    <xf numFmtId="164" fontId="22" fillId="24" borderId="27" xfId="4" applyNumberFormat="1" applyFont="1" applyFill="1" applyBorder="1" applyAlignment="1" applyProtection="1">
      <alignment horizontal="right"/>
      <protection locked="0"/>
    </xf>
    <xf numFmtId="164" fontId="22" fillId="24" borderId="26" xfId="4" applyNumberFormat="1" applyFont="1" applyFill="1" applyBorder="1" applyAlignment="1" applyProtection="1">
      <alignment horizontal="right"/>
      <protection locked="0"/>
    </xf>
    <xf numFmtId="3" fontId="22" fillId="24" borderId="27" xfId="4" applyNumberFormat="1" applyFont="1" applyFill="1" applyBorder="1" applyAlignment="1">
      <alignment horizontal="right"/>
    </xf>
    <xf numFmtId="3" fontId="22" fillId="24" borderId="26" xfId="4" applyNumberFormat="1" applyFont="1" applyFill="1" applyBorder="1" applyAlignment="1">
      <alignment horizontal="right"/>
    </xf>
    <xf numFmtId="3" fontId="22" fillId="24" borderId="27" xfId="4" applyNumberFormat="1" applyFont="1" applyFill="1" applyBorder="1" applyAlignment="1"/>
    <xf numFmtId="3" fontId="22" fillId="24" borderId="26" xfId="4" applyNumberFormat="1" applyFont="1" applyFill="1" applyBorder="1" applyAlignment="1"/>
    <xf numFmtId="1" fontId="23" fillId="23" borderId="27" xfId="1" applyNumberFormat="1" applyFont="1" applyFill="1" applyBorder="1" applyAlignment="1">
      <alignment vertical="center"/>
    </xf>
    <xf numFmtId="1" fontId="23" fillId="23" borderId="26" xfId="1" applyNumberFormat="1" applyFont="1" applyFill="1" applyBorder="1" applyAlignment="1">
      <alignment vertical="center"/>
    </xf>
    <xf numFmtId="9" fontId="23" fillId="23" borderId="27" xfId="1" applyNumberFormat="1" applyFont="1" applyFill="1" applyBorder="1" applyAlignment="1">
      <alignment vertical="center"/>
    </xf>
    <xf numFmtId="9" fontId="23" fillId="23" borderId="26" xfId="1" applyNumberFormat="1" applyFont="1" applyFill="1" applyBorder="1" applyAlignment="1">
      <alignment vertical="center"/>
    </xf>
    <xf numFmtId="1" fontId="10" fillId="23" borderId="27" xfId="1" applyNumberFormat="1" applyFont="1" applyFill="1" applyBorder="1" applyAlignment="1">
      <alignment horizontal="right" vertical="center" indent="1"/>
    </xf>
    <xf numFmtId="1" fontId="10" fillId="23" borderId="26" xfId="1" applyNumberFormat="1" applyFont="1" applyFill="1" applyBorder="1" applyAlignment="1">
      <alignment horizontal="right" vertical="center" indent="1"/>
    </xf>
    <xf numFmtId="1" fontId="30" fillId="23" borderId="27" xfId="1" applyNumberFormat="1" applyFont="1" applyFill="1" applyBorder="1" applyAlignment="1">
      <alignment vertical="center"/>
    </xf>
    <xf numFmtId="9" fontId="30" fillId="23" borderId="27" xfId="1" applyNumberFormat="1" applyFont="1" applyFill="1" applyBorder="1" applyAlignment="1">
      <alignment vertical="center"/>
    </xf>
    <xf numFmtId="0" fontId="7" fillId="23" borderId="27" xfId="1" applyFont="1" applyFill="1" applyBorder="1" applyAlignment="1">
      <alignment horizontal="right" vertical="center" indent="1"/>
    </xf>
    <xf numFmtId="0" fontId="7" fillId="23" borderId="26" xfId="1" applyFont="1" applyFill="1" applyBorder="1" applyAlignment="1">
      <alignment horizontal="right" vertical="center" indent="1"/>
    </xf>
    <xf numFmtId="167" fontId="22" fillId="24" borderId="27" xfId="4" applyNumberFormat="1" applyFont="1" applyFill="1" applyBorder="1"/>
    <xf numFmtId="167" fontId="22" fillId="24" borderId="26" xfId="4" applyNumberFormat="1" applyFont="1" applyFill="1" applyBorder="1"/>
    <xf numFmtId="3" fontId="22" fillId="23" borderId="27" xfId="1" applyNumberFormat="1" applyFont="1" applyFill="1" applyBorder="1" applyAlignment="1">
      <alignment vertical="center" wrapText="1"/>
    </xf>
    <xf numFmtId="3" fontId="22" fillId="23" borderId="26" xfId="1" applyNumberFormat="1" applyFont="1" applyFill="1" applyBorder="1" applyAlignment="1">
      <alignment vertical="center" wrapText="1"/>
    </xf>
    <xf numFmtId="9" fontId="23" fillId="23" borderId="27" xfId="1" applyNumberFormat="1" applyFont="1" applyFill="1" applyBorder="1" applyAlignment="1">
      <alignment vertical="center" wrapText="1"/>
    </xf>
    <xf numFmtId="9" fontId="23" fillId="23" borderId="26" xfId="1" applyNumberFormat="1" applyFont="1" applyFill="1" applyBorder="1" applyAlignment="1">
      <alignment vertical="center" wrapText="1"/>
    </xf>
    <xf numFmtId="1" fontId="22" fillId="24" borderId="29" xfId="4" applyNumberFormat="1" applyFont="1" applyFill="1" applyBorder="1" applyAlignment="1" applyProtection="1">
      <alignment horizontal="right"/>
      <protection locked="0"/>
    </xf>
    <xf numFmtId="1" fontId="22" fillId="24" borderId="0" xfId="4" applyNumberFormat="1" applyFont="1" applyFill="1" applyBorder="1" applyAlignment="1" applyProtection="1">
      <alignment horizontal="right"/>
      <protection locked="0"/>
    </xf>
    <xf numFmtId="1" fontId="23" fillId="24" borderId="1" xfId="1" applyNumberFormat="1" applyFont="1" applyFill="1" applyBorder="1" applyAlignment="1">
      <alignment vertical="center"/>
    </xf>
    <xf numFmtId="1" fontId="23" fillId="24" borderId="10" xfId="1" applyNumberFormat="1" applyFont="1" applyFill="1" applyBorder="1" applyAlignment="1">
      <alignment vertical="center"/>
    </xf>
    <xf numFmtId="3" fontId="20" fillId="29" borderId="27" xfId="4" applyNumberFormat="1" applyFont="1" applyFill="1" applyBorder="1" applyAlignment="1" applyProtection="1">
      <alignment horizontal="right"/>
      <protection locked="0"/>
    </xf>
    <xf numFmtId="3" fontId="20" fillId="29" borderId="26" xfId="4" applyNumberFormat="1" applyFont="1" applyFill="1" applyBorder="1" applyAlignment="1" applyProtection="1">
      <alignment horizontal="right"/>
      <protection locked="0"/>
    </xf>
    <xf numFmtId="0" fontId="9" fillId="24" borderId="27" xfId="1" applyFont="1" applyFill="1" applyBorder="1"/>
    <xf numFmtId="0" fontId="9" fillId="24" borderId="26" xfId="1" applyFont="1" applyFill="1" applyBorder="1"/>
    <xf numFmtId="1" fontId="7" fillId="23" borderId="27" xfId="1" applyNumberFormat="1" applyFont="1" applyFill="1" applyBorder="1"/>
    <xf numFmtId="1" fontId="7" fillId="23" borderId="26" xfId="1" applyNumberFormat="1" applyFont="1" applyFill="1" applyBorder="1"/>
    <xf numFmtId="1" fontId="7" fillId="24" borderId="27" xfId="1" applyNumberFormat="1" applyFont="1" applyFill="1" applyBorder="1"/>
    <xf numFmtId="1" fontId="7" fillId="24" borderId="26" xfId="1" applyNumberFormat="1" applyFont="1" applyFill="1" applyBorder="1"/>
    <xf numFmtId="1" fontId="22" fillId="24" borderId="27" xfId="4" applyNumberFormat="1" applyFont="1" applyFill="1" applyBorder="1" applyAlignment="1" applyProtection="1">
      <alignment horizontal="right"/>
      <protection locked="0"/>
    </xf>
    <xf numFmtId="1" fontId="22" fillId="24" borderId="26" xfId="4" applyNumberFormat="1" applyFont="1" applyFill="1" applyBorder="1" applyAlignment="1" applyProtection="1">
      <alignment horizontal="right"/>
      <protection locked="0"/>
    </xf>
    <xf numFmtId="3" fontId="10" fillId="23" borderId="27" xfId="1" applyNumberFormat="1" applyFont="1" applyFill="1" applyBorder="1" applyAlignment="1">
      <alignment vertical="center" wrapText="1"/>
    </xf>
    <xf numFmtId="3" fontId="10" fillId="23" borderId="26" xfId="1" applyNumberFormat="1" applyFont="1" applyFill="1" applyBorder="1" applyAlignment="1">
      <alignment vertical="center" wrapText="1"/>
    </xf>
    <xf numFmtId="0" fontId="9" fillId="24" borderId="27" xfId="1" applyFont="1" applyFill="1" applyBorder="1" applyAlignment="1">
      <alignment horizontal="center"/>
    </xf>
    <xf numFmtId="0" fontId="9" fillId="24" borderId="26" xfId="1" applyFont="1" applyFill="1" applyBorder="1" applyAlignment="1">
      <alignment horizontal="center"/>
    </xf>
    <xf numFmtId="1" fontId="23" fillId="23" borderId="27" xfId="1" applyNumberFormat="1" applyFont="1" applyFill="1" applyBorder="1" applyAlignment="1">
      <alignment horizontal="right" vertical="center" indent="1"/>
    </xf>
    <xf numFmtId="1" fontId="23" fillId="23" borderId="60" xfId="1" applyNumberFormat="1" applyFont="1" applyFill="1" applyBorder="1" applyAlignment="1">
      <alignment horizontal="right" vertical="center" indent="1"/>
    </xf>
    <xf numFmtId="1" fontId="23" fillId="23" borderId="57" xfId="1" applyNumberFormat="1" applyFont="1" applyFill="1" applyBorder="1" applyAlignment="1">
      <alignment vertical="center"/>
    </xf>
    <xf numFmtId="1" fontId="23" fillId="23" borderId="60" xfId="1" applyNumberFormat="1" applyFont="1" applyFill="1" applyBorder="1" applyAlignment="1">
      <alignment vertical="center"/>
    </xf>
    <xf numFmtId="49" fontId="1" fillId="0" borderId="0" xfId="0" applyNumberFormat="1" applyFont="1"/>
    <xf numFmtId="0" fontId="18" fillId="24" borderId="61" xfId="4" applyFont="1" applyFill="1" applyBorder="1" applyAlignment="1" applyProtection="1">
      <alignment horizontal="center"/>
      <protection locked="0"/>
    </xf>
    <xf numFmtId="0" fontId="6" fillId="24" borderId="61" xfId="1" applyFont="1" applyFill="1" applyBorder="1" applyAlignment="1">
      <alignment vertical="center"/>
    </xf>
    <xf numFmtId="3" fontId="22" fillId="24" borderId="19" xfId="4" applyNumberFormat="1" applyFont="1" applyFill="1" applyBorder="1" applyAlignment="1" applyProtection="1">
      <alignment horizontal="right"/>
      <protection locked="0"/>
    </xf>
    <xf numFmtId="1" fontId="22" fillId="24" borderId="0" xfId="0" applyNumberFormat="1" applyFont="1" applyFill="1"/>
    <xf numFmtId="164" fontId="22" fillId="24" borderId="19" xfId="4" applyNumberFormat="1" applyFont="1" applyFill="1" applyBorder="1" applyAlignment="1" applyProtection="1">
      <alignment horizontal="right"/>
      <protection locked="0"/>
    </xf>
    <xf numFmtId="164" fontId="22" fillId="24" borderId="20" xfId="4" applyNumberFormat="1" applyFont="1" applyFill="1" applyBorder="1" applyAlignment="1" applyProtection="1">
      <alignment horizontal="right"/>
      <protection locked="0"/>
    </xf>
    <xf numFmtId="3" fontId="22" fillId="24" borderId="19" xfId="4" applyNumberFormat="1" applyFont="1" applyFill="1" applyBorder="1" applyAlignment="1">
      <alignment horizontal="right"/>
    </xf>
    <xf numFmtId="0" fontId="0" fillId="24" borderId="19" xfId="0" applyFill="1" applyBorder="1" applyAlignment="1">
      <alignment horizontal="right"/>
    </xf>
    <xf numFmtId="0" fontId="0" fillId="24" borderId="20" xfId="0" applyFill="1" applyBorder="1" applyAlignment="1">
      <alignment horizontal="right"/>
    </xf>
    <xf numFmtId="9" fontId="23" fillId="23" borderId="19" xfId="0" applyNumberFormat="1" applyFont="1" applyFill="1" applyBorder="1" applyAlignment="1">
      <alignment vertical="center"/>
    </xf>
    <xf numFmtId="9" fontId="23" fillId="23" borderId="20" xfId="0" applyNumberFormat="1" applyFont="1" applyFill="1" applyBorder="1" applyAlignment="1">
      <alignment vertical="center"/>
    </xf>
    <xf numFmtId="0" fontId="7" fillId="23" borderId="19" xfId="1" applyFont="1" applyFill="1" applyBorder="1" applyAlignment="1">
      <alignment vertical="center"/>
    </xf>
    <xf numFmtId="0" fontId="7" fillId="23" borderId="20" xfId="1" applyFont="1" applyFill="1" applyBorder="1" applyAlignment="1">
      <alignment vertical="center"/>
    </xf>
    <xf numFmtId="9" fontId="23" fillId="23" borderId="19" xfId="1" applyNumberFormat="1" applyFont="1" applyFill="1" applyBorder="1" applyAlignment="1">
      <alignment vertical="center" wrapText="1"/>
    </xf>
    <xf numFmtId="9" fontId="23" fillId="23" borderId="20" xfId="1" applyNumberFormat="1" applyFont="1" applyFill="1" applyBorder="1" applyAlignment="1">
      <alignment vertical="center" wrapText="1"/>
    </xf>
    <xf numFmtId="0" fontId="22" fillId="24" borderId="19" xfId="4" applyFont="1" applyFill="1" applyBorder="1" applyAlignment="1" applyProtection="1">
      <alignment horizontal="right"/>
      <protection locked="0"/>
    </xf>
    <xf numFmtId="0" fontId="22" fillId="24" borderId="20" xfId="4" applyFont="1" applyFill="1" applyBorder="1" applyAlignment="1" applyProtection="1">
      <alignment horizontal="right"/>
      <protection locked="0"/>
    </xf>
    <xf numFmtId="1" fontId="23" fillId="23" borderId="18" xfId="1" applyNumberFormat="1" applyFont="1" applyFill="1" applyBorder="1" applyAlignment="1">
      <alignment vertical="center"/>
    </xf>
    <xf numFmtId="1" fontId="23" fillId="23" borderId="0" xfId="1" applyNumberFormat="1" applyFont="1" applyFill="1" applyBorder="1" applyAlignment="1">
      <alignment vertical="center"/>
    </xf>
    <xf numFmtId="3" fontId="20" fillId="29" borderId="19" xfId="4" applyNumberFormat="1" applyFont="1" applyFill="1" applyBorder="1" applyAlignment="1" applyProtection="1">
      <alignment horizontal="right"/>
      <protection locked="0"/>
    </xf>
    <xf numFmtId="3" fontId="20" fillId="29" borderId="20" xfId="4" applyNumberFormat="1" applyFont="1" applyFill="1" applyBorder="1" applyAlignment="1" applyProtection="1">
      <alignment horizontal="right"/>
      <protection locked="0"/>
    </xf>
    <xf numFmtId="1" fontId="7" fillId="23" borderId="18" xfId="1" applyNumberFormat="1" applyFont="1" applyFill="1" applyBorder="1"/>
    <xf numFmtId="1" fontId="7" fillId="23" borderId="0" xfId="1" applyNumberFormat="1" applyFont="1" applyFill="1" applyBorder="1"/>
    <xf numFmtId="0" fontId="21" fillId="24" borderId="19" xfId="4" applyFont="1" applyFill="1" applyBorder="1" applyAlignment="1" applyProtection="1">
      <alignment horizontal="center"/>
      <protection locked="0"/>
    </xf>
    <xf numFmtId="0" fontId="21" fillId="24" borderId="20" xfId="4" applyFont="1" applyFill="1" applyBorder="1" applyAlignment="1" applyProtection="1">
      <alignment horizontal="center"/>
      <protection locked="0"/>
    </xf>
    <xf numFmtId="1" fontId="22" fillId="24" borderId="18" xfId="4" applyNumberFormat="1" applyFont="1" applyFill="1" applyBorder="1" applyAlignment="1" applyProtection="1">
      <alignment horizontal="right"/>
      <protection locked="0"/>
    </xf>
    <xf numFmtId="0" fontId="20" fillId="29" borderId="19" xfId="4" applyFont="1" applyFill="1" applyBorder="1" applyAlignment="1" applyProtection="1">
      <alignment horizontal="right"/>
      <protection locked="0"/>
    </xf>
    <xf numFmtId="0" fontId="20" fillId="29" borderId="20" xfId="4" applyFont="1" applyFill="1" applyBorder="1" applyAlignment="1" applyProtection="1">
      <alignment horizontal="right"/>
      <protection locked="0"/>
    </xf>
    <xf numFmtId="3" fontId="7" fillId="23" borderId="18" xfId="0" applyNumberFormat="1" applyFont="1" applyFill="1" applyBorder="1" applyAlignment="1">
      <alignment horizontal="right" vertical="center" indent="1"/>
    </xf>
    <xf numFmtId="3" fontId="7" fillId="23" borderId="0" xfId="0" applyNumberFormat="1" applyFont="1" applyFill="1" applyBorder="1" applyAlignment="1">
      <alignment horizontal="right" vertical="center" indent="1"/>
    </xf>
    <xf numFmtId="1" fontId="20" fillId="29" borderId="19" xfId="4" applyNumberFormat="1" applyFont="1" applyFill="1" applyBorder="1" applyAlignment="1" applyProtection="1">
      <alignment horizontal="right"/>
      <protection locked="0"/>
    </xf>
    <xf numFmtId="1" fontId="20" fillId="29" borderId="20" xfId="4" applyNumberFormat="1" applyFont="1" applyFill="1" applyBorder="1" applyAlignment="1" applyProtection="1">
      <alignment horizontal="right"/>
      <protection locked="0"/>
    </xf>
    <xf numFmtId="1" fontId="23" fillId="23" borderId="21" xfId="1" applyNumberFormat="1" applyFont="1" applyFill="1" applyBorder="1" applyAlignment="1">
      <alignment vertical="center"/>
    </xf>
    <xf numFmtId="1" fontId="23" fillId="23" borderId="44" xfId="1" applyNumberFormat="1" applyFont="1" applyFill="1" applyBorder="1" applyAlignment="1">
      <alignment vertical="center"/>
    </xf>
    <xf numFmtId="3" fontId="25" fillId="2" borderId="20" xfId="1" applyNumberFormat="1" applyFont="1" applyFill="1" applyBorder="1" applyAlignment="1">
      <alignment vertical="center" wrapText="1"/>
    </xf>
    <xf numFmtId="3" fontId="22" fillId="0" borderId="20" xfId="0" applyNumberFormat="1" applyFont="1" applyBorder="1"/>
    <xf numFmtId="0" fontId="16" fillId="14" borderId="42" xfId="4" applyFont="1" applyFill="1" applyBorder="1" applyAlignment="1" applyProtection="1">
      <alignment horizontal="center"/>
      <protection locked="0"/>
    </xf>
    <xf numFmtId="0" fontId="1" fillId="15" borderId="40" xfId="3" applyFont="1" applyFill="1" applyBorder="1" applyAlignment="1" applyProtection="1">
      <alignment horizontal="center" wrapText="1"/>
      <protection locked="0"/>
    </xf>
    <xf numFmtId="0" fontId="6" fillId="9" borderId="22" xfId="1" applyFont="1" applyFill="1" applyBorder="1" applyAlignment="1">
      <alignment horizontal="center" vertical="center"/>
    </xf>
    <xf numFmtId="0" fontId="27" fillId="9" borderId="55" xfId="3" applyFont="1" applyFill="1" applyBorder="1" applyAlignment="1" applyProtection="1">
      <alignment horizontal="center"/>
      <protection locked="0"/>
    </xf>
    <xf numFmtId="1" fontId="22" fillId="0" borderId="19" xfId="0" applyNumberFormat="1" applyFont="1" applyFill="1" applyBorder="1" applyAlignment="1">
      <alignment horizontal="right"/>
    </xf>
    <xf numFmtId="164" fontId="22" fillId="0" borderId="19" xfId="0" applyNumberFormat="1" applyFont="1" applyFill="1" applyBorder="1" applyAlignment="1">
      <alignment horizontal="right" vertical="center"/>
    </xf>
    <xf numFmtId="9" fontId="23" fillId="0" borderId="19" xfId="1" applyNumberFormat="1" applyFont="1" applyFill="1" applyBorder="1" applyAlignment="1">
      <alignment vertical="center"/>
    </xf>
    <xf numFmtId="3" fontId="22" fillId="0" borderId="19" xfId="0" applyNumberFormat="1" applyFont="1" applyFill="1" applyBorder="1"/>
    <xf numFmtId="0" fontId="0" fillId="0" borderId="24" xfId="0" applyFill="1" applyBorder="1"/>
    <xf numFmtId="1" fontId="22" fillId="0" borderId="19" xfId="0" applyNumberFormat="1" applyFont="1" applyBorder="1" applyAlignment="1">
      <alignment horizontal="right"/>
    </xf>
    <xf numFmtId="164" fontId="22" fillId="3" borderId="19" xfId="0" applyNumberFormat="1" applyFont="1" applyFill="1" applyBorder="1" applyAlignment="1">
      <alignment vertical="center"/>
    </xf>
    <xf numFmtId="3" fontId="22" fillId="0" borderId="19" xfId="4" applyNumberFormat="1" applyFont="1" applyFill="1" applyBorder="1" applyAlignment="1" applyProtection="1">
      <alignment horizontal="right" vertical="center"/>
      <protection locked="0"/>
    </xf>
    <xf numFmtId="0" fontId="18" fillId="2" borderId="19" xfId="4" applyFont="1" applyFill="1" applyBorder="1" applyAlignment="1" applyProtection="1">
      <alignment horizontal="center"/>
      <protection locked="0"/>
    </xf>
    <xf numFmtId="0" fontId="3" fillId="0" borderId="19" xfId="4" applyFont="1" applyFill="1" applyBorder="1" applyAlignment="1" applyProtection="1">
      <alignment horizontal="center" vertical="center"/>
      <protection locked="0"/>
    </xf>
    <xf numFmtId="3" fontId="22" fillId="2" borderId="19" xfId="4" applyNumberFormat="1" applyFont="1" applyFill="1" applyBorder="1" applyAlignment="1"/>
    <xf numFmtId="167" fontId="22" fillId="0" borderId="19" xfId="4" applyNumberFormat="1" applyFont="1" applyBorder="1"/>
    <xf numFmtId="1" fontId="7" fillId="8" borderId="19" xfId="1" applyNumberFormat="1" applyFont="1" applyFill="1" applyBorder="1"/>
    <xf numFmtId="3" fontId="10" fillId="3" borderId="19" xfId="1" applyNumberFormat="1" applyFont="1" applyFill="1" applyBorder="1" applyAlignment="1">
      <alignment vertical="center" wrapText="1"/>
    </xf>
    <xf numFmtId="0" fontId="6" fillId="2" borderId="19" xfId="1" applyFont="1" applyFill="1" applyBorder="1" applyAlignment="1">
      <alignment vertical="center"/>
    </xf>
    <xf numFmtId="1" fontId="22" fillId="0" borderId="19" xfId="0" applyNumberFormat="1" applyFont="1" applyBorder="1"/>
    <xf numFmtId="3" fontId="22" fillId="0" borderId="20" xfId="0" applyNumberFormat="1" applyFont="1" applyFill="1" applyBorder="1" applyAlignment="1">
      <alignment horizontal="right"/>
    </xf>
    <xf numFmtId="9" fontId="23" fillId="0" borderId="20" xfId="1" applyNumberFormat="1" applyFont="1" applyFill="1" applyBorder="1" applyAlignment="1">
      <alignment vertical="center"/>
    </xf>
    <xf numFmtId="0" fontId="10" fillId="0" borderId="20" xfId="1" applyFont="1" applyFill="1" applyBorder="1" applyAlignment="1">
      <alignment horizontal="right" vertical="center" indent="1"/>
    </xf>
    <xf numFmtId="9" fontId="10" fillId="0" borderId="20" xfId="1" applyNumberFormat="1" applyFont="1" applyFill="1" applyBorder="1" applyAlignment="1">
      <alignment horizontal="right" vertical="center" indent="1"/>
    </xf>
    <xf numFmtId="0" fontId="7" fillId="0" borderId="20" xfId="1" applyFont="1" applyFill="1" applyBorder="1" applyAlignment="1">
      <alignment horizontal="right" vertical="center" indent="1"/>
    </xf>
    <xf numFmtId="3" fontId="23" fillId="2" borderId="19" xfId="0" applyNumberFormat="1" applyFont="1" applyFill="1" applyBorder="1" applyProtection="1">
      <protection locked="0"/>
    </xf>
    <xf numFmtId="0" fontId="5" fillId="0" borderId="0" xfId="0" applyFont="1" applyFill="1"/>
    <xf numFmtId="3" fontId="5" fillId="0" borderId="0" xfId="0" applyNumberFormat="1" applyFont="1" applyFill="1"/>
    <xf numFmtId="9" fontId="23" fillId="0" borderId="24" xfId="0" applyNumberFormat="1" applyFont="1" applyBorder="1"/>
    <xf numFmtId="9" fontId="20" fillId="7" borderId="20" xfId="4" applyNumberFormat="1" applyFont="1" applyFill="1" applyBorder="1" applyAlignment="1" applyProtection="1">
      <alignment vertical="center"/>
      <protection locked="0"/>
    </xf>
    <xf numFmtId="165" fontId="23" fillId="3" borderId="19" xfId="1" applyNumberFormat="1" applyFont="1" applyFill="1" applyBorder="1" applyAlignment="1">
      <alignment vertical="center"/>
    </xf>
    <xf numFmtId="166" fontId="23" fillId="3" borderId="20" xfId="1" applyNumberFormat="1" applyFont="1" applyFill="1" applyBorder="1" applyAlignment="1">
      <alignment vertical="center"/>
    </xf>
    <xf numFmtId="0" fontId="23" fillId="0" borderId="20" xfId="1" applyFont="1" applyFill="1" applyBorder="1" applyAlignment="1">
      <alignment horizontal="right" vertical="center" indent="1"/>
    </xf>
    <xf numFmtId="164" fontId="23" fillId="0" borderId="20" xfId="1" applyNumberFormat="1" applyFont="1" applyFill="1" applyBorder="1" applyAlignment="1">
      <alignment vertical="center"/>
    </xf>
    <xf numFmtId="166" fontId="23" fillId="0" borderId="20" xfId="1" applyNumberFormat="1" applyFont="1" applyFill="1" applyBorder="1" applyAlignment="1">
      <alignment vertical="center"/>
    </xf>
    <xf numFmtId="9" fontId="23" fillId="0" borderId="20" xfId="1" applyNumberFormat="1" applyFont="1" applyFill="1" applyBorder="1" applyAlignment="1">
      <alignment horizontal="right" vertical="center" indent="1"/>
    </xf>
    <xf numFmtId="1" fontId="10" fillId="0" borderId="19" xfId="1" applyNumberFormat="1" applyFont="1" applyFill="1" applyBorder="1" applyAlignment="1">
      <alignment horizontal="right" vertical="center" indent="1"/>
    </xf>
    <xf numFmtId="9" fontId="23" fillId="0" borderId="27" xfId="1" applyNumberFormat="1" applyFont="1" applyFill="1" applyBorder="1" applyAlignment="1">
      <alignment vertical="center"/>
    </xf>
    <xf numFmtId="0" fontId="3" fillId="0" borderId="27" xfId="4" applyFont="1" applyFill="1" applyBorder="1" applyAlignment="1" applyProtection="1">
      <alignment horizontal="left" vertical="center"/>
      <protection locked="0"/>
    </xf>
    <xf numFmtId="9" fontId="23" fillId="0" borderId="19" xfId="0" applyNumberFormat="1" applyFont="1" applyFill="1" applyBorder="1" applyAlignment="1">
      <alignment vertical="center"/>
    </xf>
    <xf numFmtId="9" fontId="10" fillId="0" borderId="19" xfId="1" applyNumberFormat="1" applyFont="1" applyFill="1" applyBorder="1" applyAlignment="1">
      <alignment horizontal="right" vertical="center" indent="1"/>
    </xf>
    <xf numFmtId="0" fontId="42" fillId="0" borderId="0" xfId="0" applyFont="1" applyBorder="1" applyAlignment="1"/>
    <xf numFmtId="3" fontId="23" fillId="0" borderId="20" xfId="0" applyNumberFormat="1" applyFont="1" applyFill="1" applyBorder="1" applyAlignment="1">
      <alignment horizontal="right" vertical="center"/>
    </xf>
    <xf numFmtId="9" fontId="22" fillId="5" borderId="19" xfId="4" applyNumberFormat="1" applyFont="1" applyFill="1" applyBorder="1" applyAlignment="1" applyProtection="1">
      <alignment horizontal="right"/>
      <protection locked="0"/>
    </xf>
    <xf numFmtId="9" fontId="22" fillId="0" borderId="19" xfId="4" applyNumberFormat="1" applyFont="1" applyFill="1" applyBorder="1" applyAlignment="1" applyProtection="1">
      <alignment horizontal="right"/>
      <protection locked="0"/>
    </xf>
    <xf numFmtId="0" fontId="0" fillId="0" borderId="20" xfId="0" applyFill="1" applyBorder="1"/>
    <xf numFmtId="0" fontId="3" fillId="0" borderId="19" xfId="1" applyFont="1" applyFill="1" applyBorder="1" applyAlignment="1">
      <alignment horizontal="center"/>
    </xf>
    <xf numFmtId="0" fontId="3" fillId="0" borderId="20" xfId="1" applyFont="1" applyFill="1" applyBorder="1" applyAlignment="1">
      <alignment horizontal="center"/>
    </xf>
    <xf numFmtId="165" fontId="22" fillId="0" borderId="0" xfId="0" applyNumberFormat="1" applyFont="1" applyFill="1" applyBorder="1" applyAlignment="1">
      <alignment vertical="center"/>
    </xf>
    <xf numFmtId="0" fontId="10" fillId="0" borderId="19" xfId="1" applyFont="1" applyFill="1" applyBorder="1" applyAlignment="1">
      <alignment horizontal="right" vertical="center" indent="1"/>
    </xf>
    <xf numFmtId="3" fontId="23" fillId="0" borderId="65" xfId="0" applyNumberFormat="1" applyFont="1" applyFill="1" applyBorder="1"/>
    <xf numFmtId="0" fontId="7" fillId="0" borderId="19" xfId="1" applyFont="1" applyFill="1" applyBorder="1" applyAlignment="1">
      <alignment horizontal="right" vertical="center" indent="1"/>
    </xf>
    <xf numFmtId="1" fontId="25" fillId="0" borderId="20" xfId="1" applyNumberFormat="1" applyFont="1" applyFill="1" applyBorder="1" applyAlignment="1">
      <alignment vertical="center" wrapText="1"/>
    </xf>
    <xf numFmtId="3" fontId="25" fillId="0" borderId="19" xfId="1" applyNumberFormat="1" applyFont="1" applyFill="1" applyBorder="1" applyAlignment="1">
      <alignment vertical="center" wrapText="1"/>
    </xf>
    <xf numFmtId="3" fontId="25" fillId="0" borderId="20" xfId="1" applyNumberFormat="1" applyFont="1" applyFill="1" applyBorder="1" applyAlignment="1">
      <alignment vertical="center" wrapText="1"/>
    </xf>
    <xf numFmtId="3" fontId="7" fillId="0" borderId="20" xfId="0" applyNumberFormat="1" applyFont="1" applyFill="1" applyBorder="1" applyAlignment="1">
      <alignment horizontal="right" vertical="center" indent="1"/>
    </xf>
    <xf numFmtId="9" fontId="23" fillId="0" borderId="21" xfId="0" applyNumberFormat="1" applyFont="1" applyFill="1" applyBorder="1"/>
    <xf numFmtId="9" fontId="23" fillId="0" borderId="44" xfId="0" applyNumberFormat="1" applyFont="1" applyFill="1" applyBorder="1"/>
    <xf numFmtId="1" fontId="20" fillId="31" borderId="20" xfId="4" applyNumberFormat="1" applyFont="1" applyFill="1" applyBorder="1" applyAlignment="1" applyProtection="1">
      <alignment vertical="center"/>
      <protection locked="0"/>
    </xf>
    <xf numFmtId="3" fontId="20" fillId="31" borderId="20" xfId="4" applyNumberFormat="1" applyFont="1" applyFill="1" applyBorder="1" applyAlignment="1" applyProtection="1">
      <alignment vertical="center"/>
      <protection locked="0"/>
    </xf>
    <xf numFmtId="3" fontId="20" fillId="31" borderId="20" xfId="4" applyNumberFormat="1" applyFont="1" applyFill="1" applyBorder="1" applyAlignment="1" applyProtection="1">
      <alignment horizontal="right" vertical="center"/>
      <protection locked="0"/>
    </xf>
    <xf numFmtId="0" fontId="21" fillId="31" borderId="20" xfId="4" applyFont="1" applyFill="1" applyBorder="1" applyAlignment="1" applyProtection="1">
      <alignment horizontal="center" vertical="center"/>
      <protection locked="0"/>
    </xf>
    <xf numFmtId="3" fontId="20" fillId="31" borderId="19" xfId="4" applyNumberFormat="1" applyFont="1" applyFill="1" applyBorder="1" applyAlignment="1" applyProtection="1">
      <alignment vertical="center"/>
      <protection locked="0"/>
    </xf>
    <xf numFmtId="1" fontId="20" fillId="31" borderId="19" xfId="4" applyNumberFormat="1" applyFont="1" applyFill="1" applyBorder="1" applyAlignment="1" applyProtection="1">
      <alignment vertical="center"/>
      <protection locked="0"/>
    </xf>
    <xf numFmtId="1" fontId="22" fillId="10" borderId="20" xfId="1" applyNumberFormat="1" applyFont="1" applyFill="1" applyBorder="1" applyAlignment="1">
      <alignment horizontal="right" vertical="center"/>
    </xf>
    <xf numFmtId="3" fontId="0" fillId="0" borderId="0" xfId="0" applyNumberFormat="1" applyFont="1"/>
    <xf numFmtId="0" fontId="0" fillId="0" borderId="0" xfId="0" applyFont="1"/>
    <xf numFmtId="0" fontId="16" fillId="4" borderId="8" xfId="4" applyFont="1" applyFill="1" applyBorder="1" applyAlignment="1" applyProtection="1">
      <alignment horizontal="center" vertical="top"/>
      <protection locked="0"/>
    </xf>
    <xf numFmtId="0" fontId="10" fillId="5" borderId="9" xfId="1" applyFont="1" applyFill="1" applyBorder="1" applyAlignment="1">
      <alignment horizontal="center" vertical="center" wrapText="1"/>
    </xf>
    <xf numFmtId="0" fontId="21" fillId="0" borderId="20" xfId="4" applyFont="1" applyFill="1" applyBorder="1" applyAlignment="1" applyProtection="1">
      <alignment horizontal="right" vertical="center"/>
      <protection locked="0"/>
    </xf>
    <xf numFmtId="0" fontId="0" fillId="0" borderId="19" xfId="0" applyFill="1" applyBorder="1" applyAlignment="1">
      <alignment horizontal="right"/>
    </xf>
    <xf numFmtId="0" fontId="0" fillId="0" borderId="20" xfId="0" applyFill="1" applyBorder="1" applyAlignment="1">
      <alignment horizontal="right"/>
    </xf>
    <xf numFmtId="9" fontId="23" fillId="0" borderId="20" xfId="0" applyNumberFormat="1" applyFont="1" applyFill="1" applyBorder="1" applyAlignment="1">
      <alignment vertical="center"/>
    </xf>
    <xf numFmtId="3" fontId="23" fillId="0" borderId="20" xfId="0" applyNumberFormat="1" applyFont="1" applyFill="1" applyBorder="1" applyAlignment="1">
      <alignment horizontal="right" vertical="center" indent="1"/>
    </xf>
    <xf numFmtId="0" fontId="7" fillId="0" borderId="20" xfId="1" applyFont="1" applyFill="1" applyBorder="1" applyAlignment="1">
      <alignment vertical="center"/>
    </xf>
    <xf numFmtId="9" fontId="23" fillId="0" borderId="19" xfId="1" applyNumberFormat="1" applyFont="1" applyFill="1" applyBorder="1" applyAlignment="1">
      <alignment vertical="center" wrapText="1"/>
    </xf>
    <xf numFmtId="9" fontId="23" fillId="0" borderId="20" xfId="1" applyNumberFormat="1" applyFont="1" applyFill="1" applyBorder="1" applyAlignment="1">
      <alignment vertical="center" wrapText="1"/>
    </xf>
    <xf numFmtId="0" fontId="23" fillId="0" borderId="19" xfId="1" applyFont="1" applyFill="1" applyBorder="1" applyAlignment="1">
      <alignment vertical="center" wrapText="1"/>
    </xf>
    <xf numFmtId="0" fontId="23" fillId="0" borderId="20" xfId="1" applyFont="1" applyFill="1" applyBorder="1" applyAlignment="1">
      <alignment vertical="center" wrapText="1"/>
    </xf>
    <xf numFmtId="1" fontId="0" fillId="0" borderId="20" xfId="0" applyNumberFormat="1" applyFill="1" applyBorder="1" applyAlignment="1">
      <alignment horizontal="right" vertical="center"/>
    </xf>
    <xf numFmtId="0" fontId="0" fillId="0" borderId="19" xfId="0" applyFill="1" applyBorder="1" applyAlignment="1">
      <alignment horizontal="right" vertical="center"/>
    </xf>
    <xf numFmtId="9" fontId="0" fillId="0" borderId="24" xfId="0" applyNumberFormat="1" applyBorder="1"/>
    <xf numFmtId="9" fontId="0" fillId="6" borderId="24" xfId="0" applyNumberFormat="1" applyFill="1" applyBorder="1"/>
    <xf numFmtId="9" fontId="23" fillId="9" borderId="24" xfId="0" applyNumberFormat="1" applyFont="1" applyFill="1" applyBorder="1"/>
    <xf numFmtId="9" fontId="23" fillId="0" borderId="24" xfId="0" applyNumberFormat="1" applyFont="1" applyFill="1" applyBorder="1"/>
    <xf numFmtId="9" fontId="20" fillId="6" borderId="24" xfId="0" applyNumberFormat="1" applyFont="1" applyFill="1" applyBorder="1"/>
    <xf numFmtId="9" fontId="30" fillId="6" borderId="24" xfId="0" applyNumberFormat="1" applyFont="1" applyFill="1" applyBorder="1"/>
    <xf numFmtId="9" fontId="31" fillId="6" borderId="24" xfId="0" applyNumberFormat="1" applyFont="1" applyFill="1" applyBorder="1"/>
    <xf numFmtId="9" fontId="0" fillId="0" borderId="22" xfId="0" applyNumberFormat="1" applyBorder="1"/>
    <xf numFmtId="9" fontId="18" fillId="0" borderId="24" xfId="3" applyNumberFormat="1" applyFont="1" applyFill="1" applyBorder="1" applyAlignment="1" applyProtection="1">
      <alignment horizontal="center"/>
      <protection locked="0"/>
    </xf>
    <xf numFmtId="9" fontId="7" fillId="6" borderId="24" xfId="1" applyNumberFormat="1" applyFont="1" applyFill="1" applyBorder="1" applyAlignment="1">
      <alignment horizontal="right" vertical="center" wrapText="1"/>
    </xf>
    <xf numFmtId="9" fontId="7" fillId="0" borderId="24" xfId="1" applyNumberFormat="1" applyFont="1" applyFill="1" applyBorder="1" applyAlignment="1">
      <alignment horizontal="right" vertical="center" wrapText="1"/>
    </xf>
    <xf numFmtId="9" fontId="28" fillId="2" borderId="24" xfId="6" applyNumberFormat="1" applyFont="1" applyFill="1" applyBorder="1" applyAlignment="1" applyProtection="1">
      <alignment horizontal="right" vertical="center"/>
    </xf>
    <xf numFmtId="9" fontId="28" fillId="2" borderId="24" xfId="6" applyNumberFormat="1" applyFont="1" applyFill="1" applyBorder="1" applyAlignment="1" applyProtection="1">
      <alignment horizontal="right"/>
    </xf>
    <xf numFmtId="9" fontId="28" fillId="9" borderId="24" xfId="6" applyNumberFormat="1" applyFont="1" applyFill="1" applyBorder="1" applyAlignment="1" applyProtection="1">
      <alignment horizontal="right"/>
    </xf>
    <xf numFmtId="9" fontId="25" fillId="2" borderId="24" xfId="6" applyNumberFormat="1" applyFont="1" applyFill="1" applyBorder="1" applyAlignment="1" applyProtection="1">
      <alignment horizontal="right"/>
    </xf>
    <xf numFmtId="9" fontId="28" fillId="0" borderId="24" xfId="6" applyNumberFormat="1" applyFont="1" applyFill="1" applyBorder="1" applyAlignment="1" applyProtection="1">
      <alignment horizontal="right"/>
    </xf>
    <xf numFmtId="9" fontId="28" fillId="6" borderId="24" xfId="6" applyNumberFormat="1" applyFont="1" applyFill="1" applyBorder="1" applyAlignment="1" applyProtection="1">
      <alignment horizontal="right"/>
    </xf>
    <xf numFmtId="9" fontId="0" fillId="0" borderId="24" xfId="0" applyNumberFormat="1" applyFill="1" applyBorder="1"/>
    <xf numFmtId="9" fontId="15" fillId="0" borderId="24" xfId="0" applyNumberFormat="1" applyFont="1" applyBorder="1"/>
    <xf numFmtId="9" fontId="1" fillId="0" borderId="24" xfId="0" applyNumberFormat="1" applyFont="1" applyBorder="1"/>
    <xf numFmtId="9" fontId="22" fillId="10" borderId="19" xfId="1" applyNumberFormat="1" applyFont="1" applyFill="1" applyBorder="1" applyAlignment="1">
      <alignment horizontal="center" vertical="center"/>
    </xf>
    <xf numFmtId="9" fontId="15" fillId="0" borderId="24" xfId="0" applyNumberFormat="1" applyFont="1" applyFill="1" applyBorder="1"/>
    <xf numFmtId="9" fontId="0" fillId="9" borderId="24" xfId="0" applyNumberFormat="1" applyFill="1" applyBorder="1"/>
    <xf numFmtId="9" fontId="15" fillId="6" borderId="24" xfId="0" applyNumberFormat="1" applyFont="1" applyFill="1" applyBorder="1"/>
    <xf numFmtId="9" fontId="0" fillId="0" borderId="19" xfId="0" applyNumberFormat="1" applyFill="1" applyBorder="1"/>
    <xf numFmtId="9" fontId="21" fillId="6" borderId="19" xfId="4" applyNumberFormat="1" applyFont="1" applyFill="1" applyBorder="1" applyAlignment="1" applyProtection="1">
      <alignment horizontal="center" vertical="center"/>
      <protection locked="0"/>
    </xf>
    <xf numFmtId="9" fontId="0" fillId="0" borderId="19" xfId="0" applyNumberFormat="1" applyBorder="1"/>
    <xf numFmtId="9" fontId="38" fillId="0" borderId="19" xfId="0" applyNumberFormat="1" applyFont="1" applyFill="1" applyBorder="1"/>
    <xf numFmtId="9" fontId="17" fillId="0" borderId="19" xfId="0" applyNumberFormat="1" applyFont="1" applyFill="1" applyBorder="1"/>
    <xf numFmtId="9" fontId="31" fillId="6" borderId="19" xfId="4" applyNumberFormat="1" applyFont="1" applyFill="1" applyBorder="1" applyAlignment="1" applyProtection="1">
      <alignment horizontal="right"/>
      <protection locked="0"/>
    </xf>
    <xf numFmtId="9" fontId="7" fillId="8" borderId="19" xfId="1" applyNumberFormat="1" applyFont="1" applyFill="1" applyBorder="1"/>
    <xf numFmtId="9" fontId="20" fillId="7" borderId="19" xfId="4" applyNumberFormat="1" applyFont="1" applyFill="1" applyBorder="1" applyAlignment="1" applyProtection="1">
      <alignment horizontal="right"/>
      <protection locked="0"/>
    </xf>
    <xf numFmtId="9" fontId="41" fillId="0" borderId="19" xfId="4" applyNumberFormat="1" applyFont="1" applyFill="1" applyBorder="1" applyAlignment="1" applyProtection="1">
      <alignment horizontal="right"/>
      <protection locked="0"/>
    </xf>
    <xf numFmtId="9" fontId="0" fillId="0" borderId="21" xfId="0" applyNumberFormat="1" applyBorder="1"/>
    <xf numFmtId="9" fontId="0" fillId="0" borderId="0" xfId="0" applyNumberFormat="1"/>
    <xf numFmtId="9" fontId="23" fillId="0" borderId="19" xfId="0" applyNumberFormat="1" applyFont="1" applyBorder="1"/>
    <xf numFmtId="9" fontId="4" fillId="5" borderId="19" xfId="0" applyNumberFormat="1" applyFont="1" applyFill="1" applyBorder="1"/>
    <xf numFmtId="9" fontId="43" fillId="6" borderId="19" xfId="0" applyNumberFormat="1" applyFont="1" applyFill="1" applyBorder="1"/>
    <xf numFmtId="9" fontId="21" fillId="6" borderId="19" xfId="4" applyNumberFormat="1" applyFont="1" applyFill="1" applyBorder="1" applyAlignment="1" applyProtection="1">
      <alignment horizontal="center"/>
      <protection locked="0"/>
    </xf>
    <xf numFmtId="0" fontId="0" fillId="32" borderId="20" xfId="0" applyFill="1" applyBorder="1"/>
    <xf numFmtId="0" fontId="21" fillId="32" borderId="20" xfId="4" applyFont="1" applyFill="1" applyBorder="1" applyAlignment="1" applyProtection="1">
      <alignment horizontal="center" vertical="center"/>
      <protection locked="0"/>
    </xf>
    <xf numFmtId="0" fontId="3" fillId="32" borderId="20" xfId="1" applyFont="1" applyFill="1" applyBorder="1" applyAlignment="1">
      <alignment horizontal="center"/>
    </xf>
    <xf numFmtId="3" fontId="22" fillId="32" borderId="19" xfId="0" applyNumberFormat="1" applyFont="1" applyFill="1" applyBorder="1" applyAlignment="1">
      <alignment horizontal="right"/>
    </xf>
    <xf numFmtId="164" fontId="22" fillId="32" borderId="19" xfId="0" applyNumberFormat="1" applyFont="1" applyFill="1" applyBorder="1" applyAlignment="1">
      <alignment horizontal="right" vertical="center"/>
    </xf>
    <xf numFmtId="3" fontId="22" fillId="33" borderId="19" xfId="0" applyNumberFormat="1" applyFont="1" applyFill="1" applyBorder="1" applyAlignment="1">
      <alignment vertical="center"/>
    </xf>
    <xf numFmtId="1" fontId="23" fillId="33" borderId="20" xfId="1" applyNumberFormat="1" applyFont="1" applyFill="1" applyBorder="1" applyAlignment="1">
      <alignment vertical="center"/>
    </xf>
    <xf numFmtId="9" fontId="23" fillId="33" borderId="20" xfId="1" applyNumberFormat="1" applyFont="1" applyFill="1" applyBorder="1" applyAlignment="1">
      <alignment vertical="center"/>
    </xf>
    <xf numFmtId="0" fontId="10" fillId="33" borderId="20" xfId="1" applyFont="1" applyFill="1" applyBorder="1" applyAlignment="1">
      <alignment horizontal="right" vertical="center" indent="1"/>
    </xf>
    <xf numFmtId="3" fontId="23" fillId="33" borderId="20" xfId="1" applyNumberFormat="1" applyFont="1" applyFill="1" applyBorder="1" applyAlignment="1">
      <alignment vertical="center"/>
    </xf>
    <xf numFmtId="9" fontId="10" fillId="33" borderId="20" xfId="1" applyNumberFormat="1" applyFont="1" applyFill="1" applyBorder="1" applyAlignment="1">
      <alignment horizontal="right" vertical="center" indent="1"/>
    </xf>
    <xf numFmtId="0" fontId="7" fillId="33" borderId="20" xfId="1" applyFont="1" applyFill="1" applyBorder="1" applyAlignment="1">
      <alignment horizontal="right" vertical="center" indent="1"/>
    </xf>
    <xf numFmtId="1" fontId="22" fillId="33" borderId="20" xfId="1" applyNumberFormat="1" applyFont="1" applyFill="1" applyBorder="1" applyAlignment="1">
      <alignment vertical="center"/>
    </xf>
    <xf numFmtId="3" fontId="22" fillId="32" borderId="19" xfId="0" applyNumberFormat="1" applyFont="1" applyFill="1" applyBorder="1"/>
    <xf numFmtId="3" fontId="22" fillId="33" borderId="20" xfId="1" applyNumberFormat="1" applyFont="1" applyFill="1" applyBorder="1" applyAlignment="1">
      <alignment vertical="center"/>
    </xf>
    <xf numFmtId="1" fontId="25" fillId="32" borderId="20" xfId="1" applyNumberFormat="1" applyFont="1" applyFill="1" applyBorder="1" applyAlignment="1">
      <alignment vertical="center" wrapText="1"/>
    </xf>
    <xf numFmtId="3" fontId="25" fillId="32" borderId="20" xfId="1" applyNumberFormat="1" applyFont="1" applyFill="1" applyBorder="1" applyAlignment="1">
      <alignment vertical="center" wrapText="1"/>
    </xf>
    <xf numFmtId="3" fontId="20" fillId="34" borderId="20" xfId="4" applyNumberFormat="1" applyFont="1" applyFill="1" applyBorder="1" applyAlignment="1" applyProtection="1">
      <alignment horizontal="right" vertical="center"/>
      <protection locked="0"/>
    </xf>
    <xf numFmtId="1" fontId="7" fillId="33" borderId="20" xfId="1" applyNumberFormat="1" applyFont="1" applyFill="1" applyBorder="1"/>
    <xf numFmtId="1" fontId="7" fillId="32" borderId="20" xfId="1" applyNumberFormat="1" applyFont="1" applyFill="1" applyBorder="1"/>
    <xf numFmtId="3" fontId="22" fillId="33" borderId="20" xfId="0" applyNumberFormat="1" applyFont="1" applyFill="1" applyBorder="1" applyAlignment="1">
      <alignment vertical="center"/>
    </xf>
    <xf numFmtId="3" fontId="20" fillId="34" borderId="20" xfId="4" applyNumberFormat="1" applyFont="1" applyFill="1" applyBorder="1" applyAlignment="1" applyProtection="1">
      <alignment vertical="center"/>
      <protection locked="0"/>
    </xf>
    <xf numFmtId="3" fontId="7" fillId="33" borderId="20" xfId="0" applyNumberFormat="1" applyFont="1" applyFill="1" applyBorder="1" applyAlignment="1">
      <alignment horizontal="right" vertical="center" indent="1"/>
    </xf>
    <xf numFmtId="3" fontId="23" fillId="33" borderId="20" xfId="0" applyNumberFormat="1" applyFont="1" applyFill="1" applyBorder="1" applyAlignment="1" applyProtection="1">
      <alignment vertical="center"/>
      <protection locked="0"/>
    </xf>
    <xf numFmtId="9" fontId="23" fillId="32" borderId="44" xfId="0" applyNumberFormat="1" applyFont="1" applyFill="1" applyBorder="1"/>
    <xf numFmtId="9" fontId="25" fillId="26" borderId="21" xfId="1" applyNumberFormat="1" applyFont="1" applyFill="1" applyBorder="1" applyAlignment="1">
      <alignment vertical="center" wrapText="1"/>
    </xf>
    <xf numFmtId="9" fontId="25" fillId="21" borderId="44" xfId="1" applyNumberFormat="1" applyFont="1" applyFill="1" applyBorder="1" applyAlignment="1">
      <alignment vertical="center" wrapText="1"/>
    </xf>
    <xf numFmtId="9" fontId="23" fillId="24" borderId="21" xfId="1" applyNumberFormat="1" applyFont="1" applyFill="1" applyBorder="1" applyAlignment="1">
      <alignment vertical="center" wrapText="1"/>
    </xf>
    <xf numFmtId="9" fontId="23" fillId="24" borderId="44" xfId="1" applyNumberFormat="1" applyFont="1" applyFill="1" applyBorder="1" applyAlignment="1">
      <alignment vertical="center" wrapText="1"/>
    </xf>
    <xf numFmtId="9" fontId="23" fillId="2" borderId="44" xfId="1" applyNumberFormat="1" applyFont="1" applyFill="1" applyBorder="1" applyAlignment="1">
      <alignment vertical="center" wrapText="1"/>
    </xf>
    <xf numFmtId="9" fontId="23" fillId="2" borderId="22" xfId="0" applyNumberFormat="1" applyFont="1" applyFill="1" applyBorder="1"/>
    <xf numFmtId="0" fontId="6" fillId="32" borderId="20" xfId="1" applyFont="1" applyFill="1" applyBorder="1" applyAlignment="1">
      <alignment vertical="center"/>
    </xf>
    <xf numFmtId="0" fontId="3" fillId="32" borderId="20" xfId="4" applyFont="1" applyFill="1" applyBorder="1" applyAlignment="1" applyProtection="1">
      <alignment horizontal="center" vertical="center"/>
      <protection locked="0"/>
    </xf>
    <xf numFmtId="3" fontId="22" fillId="32" borderId="20" xfId="0" applyNumberFormat="1" applyFont="1" applyFill="1" applyBorder="1"/>
    <xf numFmtId="164" fontId="22" fillId="32" borderId="20" xfId="0" applyNumberFormat="1" applyFont="1" applyFill="1" applyBorder="1" applyAlignment="1" applyProtection="1">
      <alignment vertical="center"/>
      <protection locked="0"/>
    </xf>
    <xf numFmtId="3" fontId="22" fillId="32" borderId="0" xfId="0" applyNumberFormat="1" applyFont="1" applyFill="1"/>
    <xf numFmtId="3" fontId="22" fillId="33" borderId="20" xfId="0" applyNumberFormat="1" applyFont="1" applyFill="1" applyBorder="1" applyAlignment="1">
      <alignment horizontal="right" vertical="center" indent="1"/>
    </xf>
    <xf numFmtId="0" fontId="23" fillId="33" borderId="20" xfId="1" applyFont="1" applyFill="1" applyBorder="1" applyAlignment="1">
      <alignment horizontal="right" vertical="center" indent="1"/>
    </xf>
    <xf numFmtId="9" fontId="23" fillId="33" borderId="20" xfId="1" applyNumberFormat="1" applyFont="1" applyFill="1" applyBorder="1" applyAlignment="1">
      <alignment horizontal="right" vertical="center" indent="1"/>
    </xf>
    <xf numFmtId="0" fontId="22" fillId="33" borderId="20" xfId="1" applyFont="1" applyFill="1" applyBorder="1" applyAlignment="1">
      <alignment horizontal="right" vertical="center" indent="1"/>
    </xf>
    <xf numFmtId="1" fontId="22" fillId="33" borderId="20" xfId="1" applyNumberFormat="1" applyFont="1" applyFill="1" applyBorder="1"/>
    <xf numFmtId="3" fontId="22" fillId="32" borderId="20" xfId="0" applyNumberFormat="1" applyFont="1" applyFill="1" applyBorder="1" applyAlignment="1">
      <alignment horizontal="right" vertical="center" indent="1"/>
    </xf>
    <xf numFmtId="3" fontId="22" fillId="33" borderId="20" xfId="1" applyNumberFormat="1" applyFont="1" applyFill="1" applyBorder="1" applyAlignment="1">
      <alignment vertical="center" wrapText="1"/>
    </xf>
    <xf numFmtId="1" fontId="20" fillId="34" borderId="20" xfId="4" applyNumberFormat="1" applyFont="1" applyFill="1" applyBorder="1" applyAlignment="1" applyProtection="1">
      <alignment vertical="center"/>
      <protection locked="0"/>
    </xf>
    <xf numFmtId="3" fontId="23" fillId="33" borderId="20" xfId="0" applyNumberFormat="1" applyFont="1" applyFill="1" applyBorder="1" applyAlignment="1" applyProtection="1">
      <alignment vertical="center" wrapText="1"/>
      <protection locked="0"/>
    </xf>
    <xf numFmtId="3" fontId="23" fillId="33" borderId="20" xfId="0" applyNumberFormat="1" applyFont="1" applyFill="1" applyBorder="1" applyAlignment="1">
      <alignment horizontal="right" vertical="center" indent="1"/>
    </xf>
    <xf numFmtId="0" fontId="23" fillId="32" borderId="20" xfId="0" applyFont="1" applyFill="1" applyBorder="1"/>
    <xf numFmtId="9" fontId="23" fillId="32" borderId="44" xfId="1" applyNumberFormat="1" applyFont="1" applyFill="1" applyBorder="1" applyAlignment="1">
      <alignment vertical="center" wrapText="1"/>
    </xf>
    <xf numFmtId="0" fontId="4" fillId="32" borderId="20" xfId="1" applyFont="1" applyFill="1" applyBorder="1" applyAlignment="1">
      <alignment horizontal="left"/>
    </xf>
    <xf numFmtId="0" fontId="21" fillId="32" borderId="20" xfId="4" applyFont="1" applyFill="1" applyBorder="1" applyAlignment="1" applyProtection="1">
      <alignment vertical="center"/>
      <protection locked="0"/>
    </xf>
    <xf numFmtId="3" fontId="22" fillId="32" borderId="20" xfId="4" applyNumberFormat="1" applyFont="1" applyFill="1" applyBorder="1" applyAlignment="1" applyProtection="1">
      <alignment horizontal="right" vertical="center"/>
      <protection locked="0"/>
    </xf>
    <xf numFmtId="164" fontId="22" fillId="33" borderId="20" xfId="0" applyNumberFormat="1" applyFont="1" applyFill="1" applyBorder="1" applyAlignment="1">
      <alignment vertical="center"/>
    </xf>
    <xf numFmtId="1" fontId="22" fillId="32" borderId="19" xfId="0" applyNumberFormat="1" applyFont="1" applyFill="1" applyBorder="1" applyAlignment="1">
      <alignment horizontal="right"/>
    </xf>
    <xf numFmtId="1" fontId="10" fillId="33" borderId="20" xfId="1" applyNumberFormat="1" applyFont="1" applyFill="1" applyBorder="1" applyAlignment="1">
      <alignment vertical="center"/>
    </xf>
    <xf numFmtId="1" fontId="22" fillId="32" borderId="20" xfId="4" applyNumberFormat="1" applyFont="1" applyFill="1" applyBorder="1" applyAlignment="1" applyProtection="1">
      <alignment horizontal="right" vertical="center"/>
      <protection locked="0"/>
    </xf>
    <xf numFmtId="1" fontId="22" fillId="33" borderId="20" xfId="1" applyNumberFormat="1" applyFont="1" applyFill="1" applyBorder="1" applyAlignment="1">
      <alignment horizontal="right" vertical="center"/>
    </xf>
    <xf numFmtId="0" fontId="0" fillId="32" borderId="20" xfId="0" applyFill="1" applyBorder="1" applyAlignment="1">
      <alignment horizontal="right" vertical="center"/>
    </xf>
    <xf numFmtId="0" fontId="9" fillId="32" borderId="20" xfId="1" applyFont="1" applyFill="1" applyBorder="1" applyAlignment="1">
      <alignment vertical="center"/>
    </xf>
    <xf numFmtId="1" fontId="9" fillId="32" borderId="20" xfId="1" applyNumberFormat="1" applyFont="1" applyFill="1" applyBorder="1" applyAlignment="1">
      <alignment vertical="center"/>
    </xf>
    <xf numFmtId="1" fontId="22" fillId="32" borderId="20" xfId="4" applyNumberFormat="1" applyFont="1" applyFill="1" applyBorder="1" applyAlignment="1" applyProtection="1">
      <alignment vertical="center"/>
      <protection locked="0"/>
    </xf>
    <xf numFmtId="3" fontId="23" fillId="32" borderId="20" xfId="0" applyNumberFormat="1" applyFont="1" applyFill="1" applyBorder="1" applyAlignment="1">
      <alignment horizontal="right" vertical="center"/>
    </xf>
    <xf numFmtId="3" fontId="23" fillId="33" borderId="20" xfId="0" applyNumberFormat="1" applyFont="1" applyFill="1" applyBorder="1" applyAlignment="1">
      <alignment vertical="center"/>
    </xf>
    <xf numFmtId="1" fontId="20" fillId="34" borderId="20" xfId="4" applyNumberFormat="1" applyFont="1" applyFill="1" applyBorder="1" applyAlignment="1" applyProtection="1">
      <alignment horizontal="right" vertical="center"/>
      <protection locked="0"/>
    </xf>
    <xf numFmtId="1" fontId="7" fillId="33" borderId="20" xfId="0" applyNumberFormat="1" applyFont="1" applyFill="1" applyBorder="1" applyAlignment="1">
      <alignment vertical="center"/>
    </xf>
    <xf numFmtId="9" fontId="23" fillId="33" borderId="44" xfId="1" applyNumberFormat="1" applyFont="1" applyFill="1" applyBorder="1" applyAlignment="1">
      <alignment vertical="center"/>
    </xf>
    <xf numFmtId="0" fontId="18" fillId="32" borderId="27" xfId="4" applyFont="1" applyFill="1" applyBorder="1" applyAlignment="1" applyProtection="1">
      <alignment horizontal="center"/>
      <protection locked="0"/>
    </xf>
    <xf numFmtId="0" fontId="21" fillId="32" borderId="27" xfId="4" applyFont="1" applyFill="1" applyBorder="1" applyAlignment="1" applyProtection="1">
      <alignment horizontal="center" vertical="center"/>
      <protection locked="0"/>
    </xf>
    <xf numFmtId="0" fontId="3" fillId="32" borderId="27" xfId="4" applyFont="1" applyFill="1" applyBorder="1" applyAlignment="1" applyProtection="1">
      <alignment horizontal="center" vertical="center"/>
      <protection locked="0"/>
    </xf>
    <xf numFmtId="164" fontId="22" fillId="32" borderId="27" xfId="4" applyNumberFormat="1" applyFont="1" applyFill="1" applyBorder="1" applyAlignment="1" applyProtection="1">
      <alignment horizontal="right"/>
      <protection locked="0"/>
    </xf>
    <xf numFmtId="3" fontId="22" fillId="32" borderId="27" xfId="4" applyNumberFormat="1" applyFont="1" applyFill="1" applyBorder="1" applyAlignment="1"/>
    <xf numFmtId="1" fontId="23" fillId="33" borderId="27" xfId="1" applyNumberFormat="1" applyFont="1" applyFill="1" applyBorder="1" applyAlignment="1">
      <alignment vertical="center"/>
    </xf>
    <xf numFmtId="9" fontId="23" fillId="33" borderId="27" xfId="1" applyNumberFormat="1" applyFont="1" applyFill="1" applyBorder="1" applyAlignment="1">
      <alignment vertical="center"/>
    </xf>
    <xf numFmtId="1" fontId="10" fillId="33" borderId="27" xfId="1" applyNumberFormat="1" applyFont="1" applyFill="1" applyBorder="1" applyAlignment="1">
      <alignment horizontal="right" vertical="center" indent="1"/>
    </xf>
    <xf numFmtId="0" fontId="7" fillId="33" borderId="27" xfId="1" applyFont="1" applyFill="1" applyBorder="1" applyAlignment="1">
      <alignment horizontal="right" vertical="center" indent="1"/>
    </xf>
    <xf numFmtId="167" fontId="22" fillId="32" borderId="27" xfId="4" applyNumberFormat="1" applyFont="1" applyFill="1" applyBorder="1"/>
    <xf numFmtId="9" fontId="23" fillId="33" borderId="27" xfId="1" applyNumberFormat="1" applyFont="1" applyFill="1" applyBorder="1" applyAlignment="1">
      <alignment vertical="center" wrapText="1"/>
    </xf>
    <xf numFmtId="1" fontId="23" fillId="33" borderId="26" xfId="1" applyNumberFormat="1" applyFont="1" applyFill="1" applyBorder="1" applyAlignment="1">
      <alignment vertical="center" wrapText="1"/>
    </xf>
    <xf numFmtId="1" fontId="22" fillId="32" borderId="0" xfId="4" applyNumberFormat="1" applyFont="1" applyFill="1" applyBorder="1" applyAlignment="1" applyProtection="1">
      <alignment horizontal="right"/>
      <protection locked="0"/>
    </xf>
    <xf numFmtId="1" fontId="23" fillId="32" borderId="10" xfId="1" applyNumberFormat="1" applyFont="1" applyFill="1" applyBorder="1" applyAlignment="1">
      <alignment vertical="center"/>
    </xf>
    <xf numFmtId="3" fontId="20" fillId="34" borderId="27" xfId="4" applyNumberFormat="1" applyFont="1" applyFill="1" applyBorder="1" applyAlignment="1" applyProtection="1">
      <alignment horizontal="right"/>
      <protection locked="0"/>
    </xf>
    <xf numFmtId="0" fontId="9" fillId="32" borderId="27" xfId="1" applyFont="1" applyFill="1" applyBorder="1"/>
    <xf numFmtId="1" fontId="7" fillId="33" borderId="27" xfId="1" applyNumberFormat="1" applyFont="1" applyFill="1" applyBorder="1"/>
    <xf numFmtId="1" fontId="7" fillId="32" borderId="27" xfId="1" applyNumberFormat="1" applyFont="1" applyFill="1" applyBorder="1"/>
    <xf numFmtId="1" fontId="22" fillId="32" borderId="27" xfId="4" applyNumberFormat="1" applyFont="1" applyFill="1" applyBorder="1" applyAlignment="1" applyProtection="1">
      <alignment horizontal="right"/>
      <protection locked="0"/>
    </xf>
    <xf numFmtId="3" fontId="10" fillId="33" borderId="27" xfId="1" applyNumberFormat="1" applyFont="1" applyFill="1" applyBorder="1" applyAlignment="1">
      <alignment vertical="center" wrapText="1"/>
    </xf>
    <xf numFmtId="0" fontId="9" fillId="32" borderId="27" xfId="1" applyFont="1" applyFill="1" applyBorder="1" applyAlignment="1">
      <alignment horizontal="center"/>
    </xf>
    <xf numFmtId="1" fontId="23" fillId="33" borderId="60" xfId="1" applyNumberFormat="1" applyFont="1" applyFill="1" applyBorder="1" applyAlignment="1">
      <alignment vertical="center"/>
    </xf>
    <xf numFmtId="0" fontId="18" fillId="32" borderId="61" xfId="4" applyFont="1" applyFill="1" applyBorder="1" applyAlignment="1" applyProtection="1">
      <alignment horizontal="center"/>
      <protection locked="0"/>
    </xf>
    <xf numFmtId="0" fontId="6" fillId="32" borderId="61" xfId="1" applyFont="1" applyFill="1" applyBorder="1" applyAlignment="1">
      <alignment vertical="center"/>
    </xf>
    <xf numFmtId="1" fontId="22" fillId="32" borderId="0" xfId="0" applyNumberFormat="1" applyFont="1" applyFill="1"/>
    <xf numFmtId="164" fontId="22" fillId="32" borderId="20" xfId="4" applyNumberFormat="1" applyFont="1" applyFill="1" applyBorder="1" applyAlignment="1" applyProtection="1">
      <alignment horizontal="right"/>
      <protection locked="0"/>
    </xf>
    <xf numFmtId="1" fontId="22" fillId="32" borderId="49" xfId="0" applyNumberFormat="1" applyFont="1" applyFill="1" applyBorder="1" applyAlignment="1">
      <alignment horizontal="right"/>
    </xf>
    <xf numFmtId="0" fontId="0" fillId="32" borderId="20" xfId="0" applyFill="1" applyBorder="1" applyAlignment="1">
      <alignment horizontal="right"/>
    </xf>
    <xf numFmtId="9" fontId="23" fillId="33" borderId="20" xfId="0" applyNumberFormat="1" applyFont="1" applyFill="1" applyBorder="1" applyAlignment="1">
      <alignment vertical="center"/>
    </xf>
    <xf numFmtId="0" fontId="7" fillId="33" borderId="20" xfId="1" applyFont="1" applyFill="1" applyBorder="1" applyAlignment="1">
      <alignment vertical="center"/>
    </xf>
    <xf numFmtId="9" fontId="23" fillId="33" borderId="20" xfId="1" applyNumberFormat="1" applyFont="1" applyFill="1" applyBorder="1" applyAlignment="1">
      <alignment vertical="center" wrapText="1"/>
    </xf>
    <xf numFmtId="0" fontId="22" fillId="32" borderId="20" xfId="4" applyFont="1" applyFill="1" applyBorder="1" applyAlignment="1" applyProtection="1">
      <alignment horizontal="right"/>
      <protection locked="0"/>
    </xf>
    <xf numFmtId="1" fontId="23" fillId="33" borderId="0" xfId="1" applyNumberFormat="1" applyFont="1" applyFill="1" applyBorder="1" applyAlignment="1">
      <alignment vertical="center"/>
    </xf>
    <xf numFmtId="3" fontId="20" fillId="34" borderId="20" xfId="4" applyNumberFormat="1" applyFont="1" applyFill="1" applyBorder="1" applyAlignment="1" applyProtection="1">
      <alignment horizontal="right"/>
      <protection locked="0"/>
    </xf>
    <xf numFmtId="1" fontId="7" fillId="33" borderId="0" xfId="1" applyNumberFormat="1" applyFont="1" applyFill="1" applyBorder="1"/>
    <xf numFmtId="0" fontId="21" fillId="32" borderId="20" xfId="4" applyFont="1" applyFill="1" applyBorder="1" applyAlignment="1" applyProtection="1">
      <alignment horizontal="center"/>
      <protection locked="0"/>
    </xf>
    <xf numFmtId="0" fontId="20" fillId="34" borderId="20" xfId="4" applyFont="1" applyFill="1" applyBorder="1" applyAlignment="1" applyProtection="1">
      <alignment horizontal="right"/>
      <protection locked="0"/>
    </xf>
    <xf numFmtId="3" fontId="7" fillId="33" borderId="0" xfId="0" applyNumberFormat="1" applyFont="1" applyFill="1" applyBorder="1" applyAlignment="1">
      <alignment horizontal="right" vertical="center" indent="1"/>
    </xf>
    <xf numFmtId="1" fontId="20" fillId="34" borderId="20" xfId="4" applyNumberFormat="1" applyFont="1" applyFill="1" applyBorder="1" applyAlignment="1" applyProtection="1">
      <alignment horizontal="right"/>
      <protection locked="0"/>
    </xf>
    <xf numFmtId="1" fontId="23" fillId="33" borderId="44" xfId="1" applyNumberFormat="1" applyFont="1" applyFill="1" applyBorder="1" applyAlignment="1">
      <alignment vertical="center"/>
    </xf>
    <xf numFmtId="1" fontId="22" fillId="23" borderId="19" xfId="1" applyNumberFormat="1" applyFont="1" applyFill="1" applyBorder="1" applyAlignment="1">
      <alignment horizontal="center" vertical="center"/>
    </xf>
    <xf numFmtId="0" fontId="0" fillId="24" borderId="19" xfId="0" applyFill="1" applyBorder="1" applyAlignment="1">
      <alignment horizontal="center" vertical="center"/>
    </xf>
    <xf numFmtId="0" fontId="0" fillId="30" borderId="19" xfId="0" applyFill="1" applyBorder="1" applyAlignment="1">
      <alignment horizontal="center" vertical="center"/>
    </xf>
    <xf numFmtId="1" fontId="22" fillId="35" borderId="19" xfId="4" applyNumberFormat="1" applyFont="1" applyFill="1" applyBorder="1" applyAlignment="1" applyProtection="1">
      <alignment horizontal="right" vertical="center"/>
      <protection locked="0"/>
    </xf>
    <xf numFmtId="1" fontId="23" fillId="36" borderId="19" xfId="1" applyNumberFormat="1" applyFont="1" applyFill="1" applyBorder="1" applyAlignment="1">
      <alignment vertical="center"/>
    </xf>
    <xf numFmtId="3" fontId="22" fillId="35" borderId="19" xfId="0" applyNumberFormat="1" applyFont="1" applyFill="1" applyBorder="1"/>
    <xf numFmtId="1" fontId="23" fillId="36" borderId="26" xfId="1" applyNumberFormat="1" applyFont="1" applyFill="1" applyBorder="1" applyAlignment="1">
      <alignment vertical="center" wrapText="1"/>
    </xf>
    <xf numFmtId="1" fontId="23" fillId="35" borderId="19" xfId="1" applyNumberFormat="1" applyFont="1" applyFill="1" applyBorder="1" applyAlignment="1">
      <alignment vertical="center"/>
    </xf>
    <xf numFmtId="1" fontId="23" fillId="36" borderId="21" xfId="1" applyNumberFormat="1" applyFont="1" applyFill="1" applyBorder="1" applyAlignment="1">
      <alignment vertical="center"/>
    </xf>
    <xf numFmtId="1" fontId="22" fillId="35" borderId="19" xfId="0" applyNumberFormat="1" applyFont="1" applyFill="1" applyBorder="1"/>
    <xf numFmtId="3" fontId="23" fillId="36" borderId="19" xfId="1" applyNumberFormat="1" applyFont="1" applyFill="1" applyBorder="1" applyAlignment="1">
      <alignment vertical="center" wrapText="1"/>
    </xf>
    <xf numFmtId="1" fontId="23" fillId="36" borderId="20" xfId="1" applyNumberFormat="1" applyFont="1" applyFill="1" applyBorder="1" applyAlignment="1">
      <alignment vertical="center"/>
    </xf>
    <xf numFmtId="3" fontId="23" fillId="36" borderId="20" xfId="1" applyNumberFormat="1" applyFont="1" applyFill="1" applyBorder="1" applyAlignment="1">
      <alignment vertical="center"/>
    </xf>
    <xf numFmtId="3" fontId="23" fillId="36" borderId="20" xfId="0" applyNumberFormat="1" applyFont="1" applyFill="1" applyBorder="1" applyAlignment="1" applyProtection="1">
      <alignment vertical="center" wrapText="1"/>
      <protection locked="0"/>
    </xf>
    <xf numFmtId="3" fontId="23" fillId="36" borderId="20" xfId="0" applyNumberFormat="1" applyFont="1" applyFill="1" applyBorder="1" applyAlignment="1">
      <alignment horizontal="right" vertical="center" indent="1"/>
    </xf>
    <xf numFmtId="0" fontId="23" fillId="35" borderId="20" xfId="0" applyFont="1" applyFill="1" applyBorder="1"/>
    <xf numFmtId="3" fontId="23" fillId="36" borderId="20" xfId="0" applyNumberFormat="1" applyFont="1" applyFill="1" applyBorder="1" applyAlignment="1" applyProtection="1">
      <alignment vertical="center"/>
      <protection locked="0"/>
    </xf>
    <xf numFmtId="1" fontId="25" fillId="35" borderId="20" xfId="1" applyNumberFormat="1" applyFont="1" applyFill="1" applyBorder="1" applyAlignment="1">
      <alignment vertical="center" wrapText="1"/>
    </xf>
    <xf numFmtId="3" fontId="25" fillId="35" borderId="20" xfId="1" applyNumberFormat="1" applyFont="1" applyFill="1" applyBorder="1" applyAlignment="1">
      <alignment vertical="center" wrapText="1"/>
    </xf>
    <xf numFmtId="3" fontId="22" fillId="35" borderId="20" xfId="0" applyNumberFormat="1" applyFont="1" applyFill="1" applyBorder="1"/>
    <xf numFmtId="3" fontId="0" fillId="0" borderId="0" xfId="0" applyNumberFormat="1" applyFill="1"/>
    <xf numFmtId="3" fontId="23" fillId="36" borderId="19" xfId="1" applyNumberFormat="1" applyFont="1" applyFill="1" applyBorder="1" applyAlignment="1">
      <alignment vertical="center"/>
    </xf>
  </cellXfs>
  <cellStyles count="7">
    <cellStyle name="Normal" xfId="0" builtinId="0"/>
    <cellStyle name="Normal_bilan oleo 2009 et 2010 V2" xfId="1"/>
    <cellStyle name="Normal_Bilans_BLET_Simul" xfId="2"/>
    <cellStyle name="Normal_Bilans_Maïs_Simul" xfId="3"/>
    <cellStyle name="Normal_Bilans_Orges_Simul" xfId="4"/>
    <cellStyle name="Pourcentage" xfId="5" builtinId="5"/>
    <cellStyle name="Pourcentage_bilan oleo 2009 et 2010 V2" xfId="6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1557618</xdr:colOff>
      <xdr:row>0</xdr:row>
      <xdr:rowOff>742937</xdr:rowOff>
    </xdr:to>
    <xdr:pic>
      <xdr:nvPicPr>
        <xdr:cNvPr id="345007" name="Picture 1" descr="logoF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57618" cy="742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342900</xdr:rowOff>
    </xdr:from>
    <xdr:to>
      <xdr:col>42</xdr:col>
      <xdr:colOff>400050</xdr:colOff>
      <xdr:row>0</xdr:row>
      <xdr:rowOff>752475</xdr:rowOff>
    </xdr:to>
    <xdr:sp macro="" textlink="">
      <xdr:nvSpPr>
        <xdr:cNvPr id="344066" name="Text Box 2"/>
        <xdr:cNvSpPr txBox="1">
          <a:spLocks noChangeArrowheads="1"/>
        </xdr:cNvSpPr>
      </xdr:nvSpPr>
      <xdr:spPr bwMode="auto">
        <a:xfrm>
          <a:off x="2676525" y="342900"/>
          <a:ext cx="4972050" cy="409575"/>
        </a:xfrm>
        <a:prstGeom prst="rect">
          <a:avLst/>
        </a:prstGeom>
        <a:solidFill>
          <a:srgbClr val="FFCC00"/>
        </a:solidFill>
        <a:ln w="9525">
          <a:noFill/>
          <a:miter lim="800000"/>
          <a:headEnd/>
          <a:tailEnd/>
        </a:ln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fr-F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BILAN PRÉVISIONNEL COLZA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2038350</xdr:colOff>
      <xdr:row>0</xdr:row>
      <xdr:rowOff>990600</xdr:rowOff>
    </xdr:to>
    <xdr:pic>
      <xdr:nvPicPr>
        <xdr:cNvPr id="349513" name="Picture 1" descr="logoF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20193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266700</xdr:rowOff>
    </xdr:from>
    <xdr:to>
      <xdr:col>36</xdr:col>
      <xdr:colOff>942975</xdr:colOff>
      <xdr:row>0</xdr:row>
      <xdr:rowOff>762000</xdr:rowOff>
    </xdr:to>
    <xdr:sp macro="" textlink="">
      <xdr:nvSpPr>
        <xdr:cNvPr id="349186" name="Text Box 2"/>
        <xdr:cNvSpPr txBox="1">
          <a:spLocks noChangeArrowheads="1"/>
        </xdr:cNvSpPr>
      </xdr:nvSpPr>
      <xdr:spPr bwMode="auto">
        <a:xfrm>
          <a:off x="3257550" y="266700"/>
          <a:ext cx="9258300" cy="495300"/>
        </a:xfrm>
        <a:prstGeom prst="rect">
          <a:avLst/>
        </a:prstGeom>
        <a:solidFill>
          <a:srgbClr val="99CC00"/>
        </a:solidFill>
        <a:ln w="9525">
          <a:noFill/>
          <a:miter lim="800000"/>
          <a:headEnd/>
          <a:tailEnd/>
        </a:ln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fr-F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BILAN PRÉVISIONNEL FÉVEROLES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2038350</xdr:colOff>
      <xdr:row>0</xdr:row>
      <xdr:rowOff>990600</xdr:rowOff>
    </xdr:to>
    <xdr:pic>
      <xdr:nvPicPr>
        <xdr:cNvPr id="346062" name="Picture 1" descr="logoF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20193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342900</xdr:rowOff>
    </xdr:from>
    <xdr:to>
      <xdr:col>38</xdr:col>
      <xdr:colOff>914400</xdr:colOff>
      <xdr:row>0</xdr:row>
      <xdr:rowOff>752475</xdr:rowOff>
    </xdr:to>
    <xdr:sp macro="" textlink="">
      <xdr:nvSpPr>
        <xdr:cNvPr id="345090" name="Text Box 2"/>
        <xdr:cNvSpPr txBox="1">
          <a:spLocks noChangeArrowheads="1"/>
        </xdr:cNvSpPr>
      </xdr:nvSpPr>
      <xdr:spPr bwMode="auto">
        <a:xfrm>
          <a:off x="3400425" y="342900"/>
          <a:ext cx="8029575" cy="409575"/>
        </a:xfrm>
        <a:prstGeom prst="rect">
          <a:avLst/>
        </a:prstGeom>
        <a:solidFill>
          <a:srgbClr val="FFCC00"/>
        </a:solidFill>
        <a:ln w="9525">
          <a:noFill/>
          <a:miter lim="800000"/>
          <a:headEnd/>
          <a:tailEnd/>
        </a:ln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fr-F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BILAN PRÉVISIONNEL COLZA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19050</xdr:rowOff>
    </xdr:from>
    <xdr:to>
      <xdr:col>0</xdr:col>
      <xdr:colOff>2038350</xdr:colOff>
      <xdr:row>0</xdr:row>
      <xdr:rowOff>990600</xdr:rowOff>
    </xdr:to>
    <xdr:pic>
      <xdr:nvPicPr>
        <xdr:cNvPr id="346064" name="Picture 8" descr="logoF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20193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342900</xdr:rowOff>
    </xdr:from>
    <xdr:to>
      <xdr:col>38</xdr:col>
      <xdr:colOff>914400</xdr:colOff>
      <xdr:row>0</xdr:row>
      <xdr:rowOff>752475</xdr:rowOff>
    </xdr:to>
    <xdr:sp macro="" textlink="">
      <xdr:nvSpPr>
        <xdr:cNvPr id="345097" name="Text Box 9"/>
        <xdr:cNvSpPr txBox="1">
          <a:spLocks noChangeArrowheads="1"/>
        </xdr:cNvSpPr>
      </xdr:nvSpPr>
      <xdr:spPr bwMode="auto">
        <a:xfrm>
          <a:off x="3400425" y="342900"/>
          <a:ext cx="8029575" cy="409575"/>
        </a:xfrm>
        <a:prstGeom prst="rect">
          <a:avLst/>
        </a:prstGeom>
        <a:solidFill>
          <a:srgbClr val="FFCC00"/>
        </a:solidFill>
        <a:ln w="9525">
          <a:noFill/>
          <a:miter lim="800000"/>
          <a:headEnd/>
          <a:tailEnd/>
        </a:ln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fr-F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BILAN PRÉVISIONNEL COLZA</a:t>
          </a:r>
        </a:p>
      </xdr:txBody>
    </xdr:sp>
    <xdr:clientData/>
  </xdr:twoCellAnchor>
  <xdr:twoCellAnchor>
    <xdr:from>
      <xdr:col>39</xdr:col>
      <xdr:colOff>57150</xdr:colOff>
      <xdr:row>22</xdr:row>
      <xdr:rowOff>142875</xdr:rowOff>
    </xdr:from>
    <xdr:to>
      <xdr:col>41</xdr:col>
      <xdr:colOff>200025</xdr:colOff>
      <xdr:row>26</xdr:row>
      <xdr:rowOff>133350</xdr:rowOff>
    </xdr:to>
    <xdr:sp macro="" textlink="">
      <xdr:nvSpPr>
        <xdr:cNvPr id="345331" name="Text Box 8"/>
        <xdr:cNvSpPr txBox="1">
          <a:spLocks noChangeArrowheads="1"/>
        </xdr:cNvSpPr>
      </xdr:nvSpPr>
      <xdr:spPr bwMode="auto">
        <a:xfrm>
          <a:off x="6286500" y="5476875"/>
          <a:ext cx="1666875" cy="73342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D4"/>
              </a:solidFill>
              <a:latin typeface="Arial"/>
              <a:cs typeface="Arial"/>
            </a:rPr>
            <a:t>M au 01/08/16: 153 KT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D4"/>
              </a:solidFill>
              <a:latin typeface="Arial"/>
              <a:cs typeface="Arial"/>
            </a:rPr>
            <a:t>UE: 132 KT, PT: 21 KT</a:t>
          </a: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DD0806"/>
              </a:solidFill>
              <a:latin typeface="Arial"/>
              <a:cs typeface="Arial"/>
            </a:rPr>
            <a:t>M au 01/08/15:  188 KT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DD0806"/>
              </a:solidFill>
              <a:latin typeface="Arial"/>
              <a:cs typeface="Arial"/>
            </a:rPr>
            <a:t>UE:  150 KT, PT: 38  KT</a:t>
          </a:r>
        </a:p>
      </xdr:txBody>
    </xdr:sp>
    <xdr:clientData/>
  </xdr:twoCellAnchor>
  <xdr:twoCellAnchor>
    <xdr:from>
      <xdr:col>39</xdr:col>
      <xdr:colOff>57150</xdr:colOff>
      <xdr:row>13</xdr:row>
      <xdr:rowOff>123825</xdr:rowOff>
    </xdr:from>
    <xdr:to>
      <xdr:col>41</xdr:col>
      <xdr:colOff>619125</xdr:colOff>
      <xdr:row>17</xdr:row>
      <xdr:rowOff>95250</xdr:rowOff>
    </xdr:to>
    <xdr:sp macro="" textlink="">
      <xdr:nvSpPr>
        <xdr:cNvPr id="345332" name="Text Box 8"/>
        <xdr:cNvSpPr txBox="1">
          <a:spLocks noChangeArrowheads="1"/>
        </xdr:cNvSpPr>
      </xdr:nvSpPr>
      <xdr:spPr bwMode="auto">
        <a:xfrm>
          <a:off x="6286500" y="3752850"/>
          <a:ext cx="2085975" cy="73342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D4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DD0806"/>
              </a:solidFill>
              <a:latin typeface="Arial"/>
              <a:cs typeface="Arial"/>
            </a:rPr>
            <a:t>collecte au 01/08/15:  2 861 KT</a:t>
          </a: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DD0806"/>
              </a:solidFill>
              <a:latin typeface="Arial"/>
              <a:cs typeface="Arial"/>
            </a:rPr>
            <a:t>55% de la production prov et de la collecte prov</a:t>
          </a:r>
        </a:p>
        <a:p>
          <a:pPr algn="l" rtl="0">
            <a:defRPr sz="1000"/>
          </a:pPr>
          <a:endParaRPr lang="fr-FR" sz="1000" b="1" i="0" u="none" strike="noStrike" baseline="0">
            <a:solidFill>
              <a:srgbClr val="DD0806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1" i="0" u="none" strike="noStrike" baseline="0">
            <a:solidFill>
              <a:srgbClr val="DD0806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39</xdr:col>
      <xdr:colOff>57150</xdr:colOff>
      <xdr:row>36</xdr:row>
      <xdr:rowOff>142875</xdr:rowOff>
    </xdr:from>
    <xdr:to>
      <xdr:col>41</xdr:col>
      <xdr:colOff>200025</xdr:colOff>
      <xdr:row>40</xdr:row>
      <xdr:rowOff>95250</xdr:rowOff>
    </xdr:to>
    <xdr:sp macro="" textlink="">
      <xdr:nvSpPr>
        <xdr:cNvPr id="345333" name="Text Box 8"/>
        <xdr:cNvSpPr txBox="1">
          <a:spLocks noChangeArrowheads="1"/>
        </xdr:cNvSpPr>
      </xdr:nvSpPr>
      <xdr:spPr bwMode="auto">
        <a:xfrm>
          <a:off x="6286500" y="8229600"/>
          <a:ext cx="1666875" cy="73342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D4"/>
              </a:solidFill>
              <a:latin typeface="Arial"/>
              <a:cs typeface="Arial"/>
            </a:rPr>
            <a:t>X au 01/08/16: 96,7 KT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D4"/>
              </a:solidFill>
              <a:latin typeface="Arial"/>
              <a:cs typeface="Arial"/>
            </a:rPr>
            <a:t>UE: 96,5KT, PT: 0,2 KT</a:t>
          </a: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DD0806"/>
              </a:solidFill>
              <a:latin typeface="Arial"/>
              <a:cs typeface="Arial"/>
            </a:rPr>
            <a:t>X au 01/08/15:  160,6 KT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DD0806"/>
              </a:solidFill>
              <a:latin typeface="Arial"/>
              <a:cs typeface="Arial"/>
            </a:rPr>
            <a:t>UE:  160,2 KT, PT: 0,4  KT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1447800</xdr:colOff>
      <xdr:row>0</xdr:row>
      <xdr:rowOff>706467</xdr:rowOff>
    </xdr:to>
    <xdr:pic>
      <xdr:nvPicPr>
        <xdr:cNvPr id="343971" name="Picture 1" descr="logoF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428750" cy="687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3114674</xdr:colOff>
      <xdr:row>0</xdr:row>
      <xdr:rowOff>285750</xdr:rowOff>
    </xdr:from>
    <xdr:to>
      <xdr:col>43</xdr:col>
      <xdr:colOff>581024</xdr:colOff>
      <xdr:row>0</xdr:row>
      <xdr:rowOff>695325</xdr:rowOff>
    </xdr:to>
    <xdr:sp macro="" textlink="">
      <xdr:nvSpPr>
        <xdr:cNvPr id="343042" name="Text Box 2"/>
        <xdr:cNvSpPr txBox="1">
          <a:spLocks noChangeArrowheads="1"/>
        </xdr:cNvSpPr>
      </xdr:nvSpPr>
      <xdr:spPr bwMode="auto">
        <a:xfrm>
          <a:off x="3114674" y="285750"/>
          <a:ext cx="5153025" cy="409575"/>
        </a:xfrm>
        <a:prstGeom prst="rect">
          <a:avLst/>
        </a:prstGeom>
        <a:solidFill>
          <a:srgbClr val="FFCC00"/>
        </a:solidFill>
        <a:ln w="9525">
          <a:noFill/>
          <a:miter lim="800000"/>
          <a:headEnd/>
          <a:tailEnd/>
        </a:ln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fr-F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BILAN PRÉVISIONNEL TOURNESOL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2038350</xdr:colOff>
      <xdr:row>0</xdr:row>
      <xdr:rowOff>990600</xdr:rowOff>
    </xdr:to>
    <xdr:pic>
      <xdr:nvPicPr>
        <xdr:cNvPr id="346442" name="Picture 1" descr="logoF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20193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285750</xdr:rowOff>
    </xdr:from>
    <xdr:to>
      <xdr:col>39</xdr:col>
      <xdr:colOff>876300</xdr:colOff>
      <xdr:row>0</xdr:row>
      <xdr:rowOff>695325</xdr:rowOff>
    </xdr:to>
    <xdr:sp macro="" textlink="">
      <xdr:nvSpPr>
        <xdr:cNvPr id="346114" name="Text Box 2"/>
        <xdr:cNvSpPr txBox="1">
          <a:spLocks noChangeArrowheads="1"/>
        </xdr:cNvSpPr>
      </xdr:nvSpPr>
      <xdr:spPr bwMode="auto">
        <a:xfrm>
          <a:off x="3324225" y="285750"/>
          <a:ext cx="7524750" cy="409575"/>
        </a:xfrm>
        <a:prstGeom prst="rect">
          <a:avLst/>
        </a:prstGeom>
        <a:solidFill>
          <a:srgbClr val="FFCC00"/>
        </a:solidFill>
        <a:ln w="9525">
          <a:noFill/>
          <a:miter lim="800000"/>
          <a:headEnd/>
          <a:tailEnd/>
        </a:ln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fr-F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BILAN PRÉVISIONNEL TOURNESOL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1485900</xdr:colOff>
      <xdr:row>0</xdr:row>
      <xdr:rowOff>724799</xdr:rowOff>
    </xdr:to>
    <xdr:pic>
      <xdr:nvPicPr>
        <xdr:cNvPr id="342950" name="Picture 1" descr="logoF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466850" cy="70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276225</xdr:rowOff>
    </xdr:from>
    <xdr:to>
      <xdr:col>42</xdr:col>
      <xdr:colOff>0</xdr:colOff>
      <xdr:row>0</xdr:row>
      <xdr:rowOff>752475</xdr:rowOff>
    </xdr:to>
    <xdr:sp macro="" textlink="">
      <xdr:nvSpPr>
        <xdr:cNvPr id="342018" name="Text Box 2"/>
        <xdr:cNvSpPr txBox="1">
          <a:spLocks noChangeArrowheads="1"/>
        </xdr:cNvSpPr>
      </xdr:nvSpPr>
      <xdr:spPr bwMode="auto">
        <a:xfrm>
          <a:off x="5734050" y="276225"/>
          <a:ext cx="7229475" cy="476250"/>
        </a:xfrm>
        <a:prstGeom prst="rect">
          <a:avLst/>
        </a:prstGeom>
        <a:solidFill>
          <a:srgbClr val="FFCC00"/>
        </a:solidFill>
        <a:ln w="9525">
          <a:noFill/>
          <a:miter lim="800000"/>
          <a:headEnd/>
          <a:tailEnd/>
        </a:ln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fr-F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BILAN PRÉVISIONNEL SOJA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2038350</xdr:colOff>
      <xdr:row>0</xdr:row>
      <xdr:rowOff>990600</xdr:rowOff>
    </xdr:to>
    <xdr:pic>
      <xdr:nvPicPr>
        <xdr:cNvPr id="347466" name="Picture 1" descr="logoF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20193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276225</xdr:rowOff>
    </xdr:from>
    <xdr:to>
      <xdr:col>37</xdr:col>
      <xdr:colOff>1028700</xdr:colOff>
      <xdr:row>0</xdr:row>
      <xdr:rowOff>752475</xdr:rowOff>
    </xdr:to>
    <xdr:sp macro="" textlink="">
      <xdr:nvSpPr>
        <xdr:cNvPr id="347138" name="Text Box 2"/>
        <xdr:cNvSpPr txBox="1">
          <a:spLocks noChangeArrowheads="1"/>
        </xdr:cNvSpPr>
      </xdr:nvSpPr>
      <xdr:spPr bwMode="auto">
        <a:xfrm>
          <a:off x="5734050" y="276225"/>
          <a:ext cx="8286750" cy="476250"/>
        </a:xfrm>
        <a:prstGeom prst="rect">
          <a:avLst/>
        </a:prstGeom>
        <a:solidFill>
          <a:srgbClr val="FFCC00"/>
        </a:solidFill>
        <a:ln w="9525">
          <a:noFill/>
          <a:miter lim="800000"/>
          <a:headEnd/>
          <a:tailEnd/>
        </a:ln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fr-F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BILAN PRÉVISIONNEL SOJA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1476375</xdr:colOff>
      <xdr:row>0</xdr:row>
      <xdr:rowOff>723539</xdr:rowOff>
    </xdr:to>
    <xdr:pic>
      <xdr:nvPicPr>
        <xdr:cNvPr id="457380" name="Picture 1" descr="logoF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457325" cy="704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295275</xdr:rowOff>
    </xdr:from>
    <xdr:to>
      <xdr:col>43</xdr:col>
      <xdr:colOff>0</xdr:colOff>
      <xdr:row>1</xdr:row>
      <xdr:rowOff>0</xdr:rowOff>
    </xdr:to>
    <xdr:sp macro="" textlink="">
      <xdr:nvSpPr>
        <xdr:cNvPr id="340994" name="Text Box 2"/>
        <xdr:cNvSpPr txBox="1">
          <a:spLocks noChangeArrowheads="1"/>
        </xdr:cNvSpPr>
      </xdr:nvSpPr>
      <xdr:spPr bwMode="auto">
        <a:xfrm>
          <a:off x="3114261" y="295275"/>
          <a:ext cx="3536674" cy="466725"/>
        </a:xfrm>
        <a:prstGeom prst="rect">
          <a:avLst/>
        </a:prstGeom>
        <a:solidFill>
          <a:srgbClr val="99CC00"/>
        </a:solidFill>
        <a:ln w="9525">
          <a:noFill/>
          <a:miter lim="800000"/>
          <a:headEnd/>
          <a:tailEnd/>
        </a:ln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BILAN PRÉVISIONNEL POIS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2038350</xdr:colOff>
      <xdr:row>0</xdr:row>
      <xdr:rowOff>990600</xdr:rowOff>
    </xdr:to>
    <xdr:pic>
      <xdr:nvPicPr>
        <xdr:cNvPr id="348489" name="Picture 1" descr="logoF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20193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295275</xdr:rowOff>
    </xdr:from>
    <xdr:to>
      <xdr:col>36</xdr:col>
      <xdr:colOff>904875</xdr:colOff>
      <xdr:row>0</xdr:row>
      <xdr:rowOff>762000</xdr:rowOff>
    </xdr:to>
    <xdr:sp macro="" textlink="">
      <xdr:nvSpPr>
        <xdr:cNvPr id="348162" name="Text Box 2"/>
        <xdr:cNvSpPr txBox="1">
          <a:spLocks noChangeArrowheads="1"/>
        </xdr:cNvSpPr>
      </xdr:nvSpPr>
      <xdr:spPr bwMode="auto">
        <a:xfrm>
          <a:off x="3257550" y="295275"/>
          <a:ext cx="8162925" cy="466725"/>
        </a:xfrm>
        <a:prstGeom prst="rect">
          <a:avLst/>
        </a:prstGeom>
        <a:solidFill>
          <a:srgbClr val="99CC00"/>
        </a:solidFill>
        <a:ln w="9525">
          <a:noFill/>
          <a:miter lim="800000"/>
          <a:headEnd/>
          <a:tailEnd/>
        </a:ln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fr-F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BILAN PRÉVISIONNEL POIS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1504950</xdr:colOff>
      <xdr:row>0</xdr:row>
      <xdr:rowOff>733964</xdr:rowOff>
    </xdr:to>
    <xdr:pic>
      <xdr:nvPicPr>
        <xdr:cNvPr id="458367" name="Picture 2" descr="logoF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485900" cy="714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266700</xdr:rowOff>
    </xdr:from>
    <xdr:to>
      <xdr:col>43</xdr:col>
      <xdr:colOff>0</xdr:colOff>
      <xdr:row>1</xdr:row>
      <xdr:rowOff>0</xdr:rowOff>
    </xdr:to>
    <xdr:sp macro="" textlink="">
      <xdr:nvSpPr>
        <xdr:cNvPr id="339971" name="Text Box 3"/>
        <xdr:cNvSpPr txBox="1">
          <a:spLocks noChangeArrowheads="1"/>
        </xdr:cNvSpPr>
      </xdr:nvSpPr>
      <xdr:spPr bwMode="auto">
        <a:xfrm>
          <a:off x="3171825" y="266700"/>
          <a:ext cx="5334000" cy="495300"/>
        </a:xfrm>
        <a:prstGeom prst="rect">
          <a:avLst/>
        </a:prstGeom>
        <a:solidFill>
          <a:srgbClr val="99CC00"/>
        </a:solidFill>
        <a:ln w="9525">
          <a:noFill/>
          <a:miter lim="800000"/>
          <a:headEnd/>
          <a:tailEnd/>
        </a:ln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fr-F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BILAN PRÉVISIONNEL FÉVEROLES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ANCEAGRIMER/ENTITE/MEP/SMEF/U_GC/_COMMUN/Cellule%20OLEOPROT/BILANS%20OL&#201;O-PRO/R&#201;UNION%20BILANS/2016/R&#233;union%20bilans%2007072016/BILANS/Copie%20de%20STA-OLEOPRO-bilcamp%2007072016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 15-16"/>
      <sheetName val="CO 16-17"/>
      <sheetName val="TO 15-16"/>
      <sheetName val="TO 16-17"/>
      <sheetName val="SO 15-16"/>
      <sheetName val="SO 16-17 "/>
      <sheetName val="PO 15-16"/>
      <sheetName val="PO 16-17"/>
      <sheetName val="FEV 15-16"/>
      <sheetName val="FEV 16-17"/>
    </sheetNames>
    <sheetDataSet>
      <sheetData sheetId="0"/>
      <sheetData sheetId="1"/>
      <sheetData sheetId="2"/>
      <sheetData sheetId="3"/>
      <sheetData sheetId="4">
        <row r="43">
          <cell r="AI43">
            <v>141</v>
          </cell>
        </row>
      </sheetData>
      <sheetData sheetId="5"/>
      <sheetData sheetId="6"/>
      <sheetData sheetId="7"/>
      <sheetData sheetId="8">
        <row r="42">
          <cell r="AH42">
            <v>87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1"/>
    <pageSetUpPr fitToPage="1"/>
  </sheetPr>
  <dimension ref="A1:AU57"/>
  <sheetViews>
    <sheetView showGridLines="0" tabSelected="1" topLeftCell="AA1" zoomScaleNormal="100" zoomScaleSheetLayoutView="100" workbookViewId="0">
      <pane ySplit="3" topLeftCell="A4" activePane="bottomLeft" state="frozen"/>
      <selection pane="bottomLeft" activeCell="AO45" sqref="AO45"/>
    </sheetView>
  </sheetViews>
  <sheetFormatPr baseColWidth="10" defaultRowHeight="12.75" outlineLevelCol="3" x14ac:dyDescent="0.2"/>
  <cols>
    <col min="1" max="1" width="40.140625" customWidth="1"/>
    <col min="2" max="5" width="13.7109375" hidden="1" customWidth="1" outlineLevel="2"/>
    <col min="6" max="7" width="13.28515625" hidden="1" customWidth="1" outlineLevel="3"/>
    <col min="8" max="8" width="13.7109375" hidden="1" customWidth="1" outlineLevel="2"/>
    <col min="9" max="9" width="14.7109375" hidden="1" customWidth="1" outlineLevel="3"/>
    <col min="10" max="10" width="14.5703125" hidden="1" customWidth="1" outlineLevel="3"/>
    <col min="11" max="11" width="12.5703125" hidden="1" customWidth="1" outlineLevel="3"/>
    <col min="12" max="12" width="15.5703125" hidden="1" customWidth="1" outlineLevel="3"/>
    <col min="13" max="13" width="13.7109375" hidden="1" customWidth="1" outlineLevel="2"/>
    <col min="14" max="14" width="15.140625" hidden="1" customWidth="1" outlineLevel="1"/>
    <col min="15" max="15" width="15.42578125" hidden="1" customWidth="1" outlineLevel="1"/>
    <col min="16" max="16" width="16.140625" hidden="1" customWidth="1" outlineLevel="1"/>
    <col min="17" max="17" width="13.7109375" hidden="1" customWidth="1" outlineLevel="1"/>
    <col min="18" max="18" width="13.7109375" hidden="1" customWidth="1" collapsed="1"/>
    <col min="19" max="19" width="15.42578125" hidden="1" customWidth="1" outlineLevel="1"/>
    <col min="20" max="20" width="13.5703125" hidden="1" customWidth="1" outlineLevel="1"/>
    <col min="21" max="21" width="16.28515625" hidden="1" customWidth="1" outlineLevel="1"/>
    <col min="22" max="22" width="18.85546875" hidden="1" customWidth="1" outlineLevel="1"/>
    <col min="23" max="23" width="13.7109375" hidden="1" customWidth="1" outlineLevel="1"/>
    <col min="24" max="24" width="12.85546875" hidden="1" customWidth="1" collapsed="1"/>
    <col min="25" max="25" width="15.85546875" customWidth="1" outlineLevel="1"/>
    <col min="26" max="27" width="12.42578125" customWidth="1" outlineLevel="1"/>
    <col min="28" max="28" width="13.7109375" customWidth="1"/>
    <col min="29" max="29" width="13.28515625" customWidth="1" outlineLevel="1"/>
    <col min="30" max="30" width="15.140625" customWidth="1" outlineLevel="1"/>
    <col min="31" max="33" width="13.42578125" customWidth="1" outlineLevel="1"/>
    <col min="34" max="34" width="12.5703125" customWidth="1" outlineLevel="1"/>
    <col min="35" max="35" width="13.7109375" customWidth="1"/>
    <col min="36" max="36" width="13.42578125" hidden="1" customWidth="1" outlineLevel="1"/>
    <col min="37" max="38" width="13.7109375" hidden="1" customWidth="1" outlineLevel="1"/>
    <col min="39" max="39" width="0.140625" hidden="1" customWidth="1" outlineLevel="1"/>
    <col min="40" max="40" width="13.7109375" customWidth="1" collapsed="1"/>
    <col min="41" max="42" width="13.7109375" customWidth="1"/>
    <col min="43" max="43" width="11.28515625" bestFit="1" customWidth="1"/>
    <col min="44" max="44" width="14.42578125" customWidth="1"/>
  </cols>
  <sheetData>
    <row r="1" spans="1:44" ht="60" customHeight="1" x14ac:dyDescent="0.2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</row>
    <row r="2" spans="1:44" ht="20.25" customHeight="1" x14ac:dyDescent="0.3">
      <c r="A2" s="579" t="s">
        <v>0</v>
      </c>
      <c r="B2" s="503" t="s">
        <v>28</v>
      </c>
      <c r="C2" s="466" t="s">
        <v>75</v>
      </c>
      <c r="D2" s="466" t="s">
        <v>76</v>
      </c>
      <c r="E2" s="583" t="s">
        <v>158</v>
      </c>
      <c r="F2" s="466" t="s">
        <v>109</v>
      </c>
      <c r="G2" s="466" t="s">
        <v>109</v>
      </c>
      <c r="H2" s="466" t="s">
        <v>159</v>
      </c>
      <c r="I2" s="466" t="s">
        <v>114</v>
      </c>
      <c r="J2" s="466" t="s">
        <v>114</v>
      </c>
      <c r="K2" s="466" t="s">
        <v>114</v>
      </c>
      <c r="L2" s="482" t="s">
        <v>114</v>
      </c>
      <c r="M2" s="503" t="s">
        <v>114</v>
      </c>
      <c r="N2" s="466" t="s">
        <v>49</v>
      </c>
      <c r="O2" s="466" t="s">
        <v>86</v>
      </c>
      <c r="P2" s="466" t="s">
        <v>49</v>
      </c>
      <c r="Q2" s="466" t="s">
        <v>49</v>
      </c>
      <c r="R2" s="466" t="s">
        <v>86</v>
      </c>
      <c r="S2" s="466" t="s">
        <v>96</v>
      </c>
      <c r="T2" s="466" t="s">
        <v>96</v>
      </c>
      <c r="U2" s="466" t="s">
        <v>96</v>
      </c>
      <c r="V2" s="466" t="s">
        <v>150</v>
      </c>
      <c r="W2" s="466" t="s">
        <v>150</v>
      </c>
      <c r="X2" s="466" t="s">
        <v>149</v>
      </c>
      <c r="Y2" s="466" t="s">
        <v>169</v>
      </c>
      <c r="Z2" s="466" t="s">
        <v>51</v>
      </c>
      <c r="AA2" s="466" t="s">
        <v>172</v>
      </c>
      <c r="AB2" s="466" t="s">
        <v>152</v>
      </c>
      <c r="AC2" s="466" t="s">
        <v>155</v>
      </c>
      <c r="AD2" s="466" t="s">
        <v>155</v>
      </c>
      <c r="AE2" s="466" t="s">
        <v>173</v>
      </c>
      <c r="AF2" s="466" t="s">
        <v>173</v>
      </c>
      <c r="AG2" s="466" t="s">
        <v>173</v>
      </c>
      <c r="AH2" s="482" t="s">
        <v>206</v>
      </c>
      <c r="AI2" s="482" t="s">
        <v>154</v>
      </c>
      <c r="AJ2" s="466" t="s">
        <v>200</v>
      </c>
      <c r="AK2" s="482" t="s">
        <v>213</v>
      </c>
      <c r="AL2" s="482" t="s">
        <v>213</v>
      </c>
      <c r="AM2" s="482" t="s">
        <v>213</v>
      </c>
      <c r="AN2" s="482" t="s">
        <v>203</v>
      </c>
      <c r="AO2" s="482" t="s">
        <v>203</v>
      </c>
      <c r="AP2" s="1503" t="s">
        <v>250</v>
      </c>
      <c r="AQ2" s="1504" t="s">
        <v>157</v>
      </c>
    </row>
    <row r="3" spans="1:44" s="4" customFormat="1" ht="20.25" customHeight="1" x14ac:dyDescent="0.3">
      <c r="A3" s="622"/>
      <c r="B3" s="618"/>
      <c r="C3" s="635"/>
      <c r="D3" s="635"/>
      <c r="E3" s="635"/>
      <c r="F3" s="636" t="s">
        <v>110</v>
      </c>
      <c r="G3" s="636" t="s">
        <v>111</v>
      </c>
      <c r="H3" s="637"/>
      <c r="I3" s="636" t="s">
        <v>160</v>
      </c>
      <c r="J3" s="636" t="s">
        <v>161</v>
      </c>
      <c r="K3" s="636" t="s">
        <v>162</v>
      </c>
      <c r="L3" s="675" t="s">
        <v>163</v>
      </c>
      <c r="M3" s="619"/>
      <c r="N3" s="636" t="s">
        <v>164</v>
      </c>
      <c r="O3" s="636" t="s">
        <v>165</v>
      </c>
      <c r="P3" s="636" t="s">
        <v>166</v>
      </c>
      <c r="Q3" s="636" t="s">
        <v>122</v>
      </c>
      <c r="R3" s="637"/>
      <c r="S3" s="636" t="s">
        <v>90</v>
      </c>
      <c r="T3" s="636" t="s">
        <v>91</v>
      </c>
      <c r="U3" s="636" t="s">
        <v>167</v>
      </c>
      <c r="V3" s="636" t="s">
        <v>127</v>
      </c>
      <c r="W3" s="636" t="s">
        <v>168</v>
      </c>
      <c r="X3" s="637"/>
      <c r="Y3" s="636" t="s">
        <v>151</v>
      </c>
      <c r="Z3" s="636" t="s">
        <v>170</v>
      </c>
      <c r="AA3" s="636" t="s">
        <v>171</v>
      </c>
      <c r="AB3" s="672"/>
      <c r="AC3" s="636" t="s">
        <v>174</v>
      </c>
      <c r="AD3" s="636" t="s">
        <v>175</v>
      </c>
      <c r="AE3" s="672" t="s">
        <v>156</v>
      </c>
      <c r="AF3" s="672" t="s">
        <v>190</v>
      </c>
      <c r="AG3" s="672" t="s">
        <v>198</v>
      </c>
      <c r="AH3" s="672" t="s">
        <v>207</v>
      </c>
      <c r="AI3" s="672" t="s">
        <v>228</v>
      </c>
      <c r="AJ3" s="672" t="s">
        <v>207</v>
      </c>
      <c r="AK3" s="672" t="s">
        <v>237</v>
      </c>
      <c r="AL3" s="672" t="s">
        <v>238</v>
      </c>
      <c r="AM3" s="672" t="s">
        <v>241</v>
      </c>
      <c r="AN3" s="672" t="s">
        <v>261</v>
      </c>
      <c r="AO3" s="1505" t="s">
        <v>229</v>
      </c>
      <c r="AP3" s="1505" t="s">
        <v>262</v>
      </c>
      <c r="AQ3" s="1506"/>
    </row>
    <row r="4" spans="1:44" ht="20.25" customHeight="1" x14ac:dyDescent="0.2">
      <c r="A4" s="586"/>
      <c r="B4" s="559"/>
      <c r="C4" s="520"/>
      <c r="D4" s="520"/>
      <c r="E4" s="520"/>
      <c r="F4" s="520"/>
      <c r="G4" s="520"/>
      <c r="H4" s="520"/>
      <c r="I4" s="520"/>
      <c r="J4" s="520"/>
      <c r="K4" s="520"/>
      <c r="L4" s="638"/>
      <c r="M4" s="559"/>
      <c r="N4" s="520"/>
      <c r="O4" s="520"/>
      <c r="P4" s="520"/>
      <c r="Q4" s="520"/>
      <c r="R4" s="520"/>
      <c r="S4" s="520"/>
      <c r="T4" s="520"/>
      <c r="U4" s="520"/>
      <c r="V4" s="520"/>
      <c r="W4" s="520"/>
      <c r="X4" s="520"/>
      <c r="Y4" s="520"/>
      <c r="Z4" s="520"/>
      <c r="AA4" s="520"/>
      <c r="AB4" s="520"/>
      <c r="AC4" s="520"/>
      <c r="AD4" s="520"/>
      <c r="AE4" s="520"/>
      <c r="AF4" s="638"/>
      <c r="AG4" s="638"/>
      <c r="AH4" s="638"/>
      <c r="AI4" s="638"/>
      <c r="AJ4" s="638"/>
      <c r="AK4" s="1548"/>
      <c r="AL4" s="1548"/>
      <c r="AM4" s="638"/>
      <c r="AN4" s="1623"/>
      <c r="AO4" s="638"/>
      <c r="AP4" s="638"/>
      <c r="AQ4" s="1584"/>
    </row>
    <row r="5" spans="1:44" ht="20.25" customHeight="1" x14ac:dyDescent="0.2">
      <c r="A5" s="586"/>
      <c r="B5" s="559"/>
      <c r="C5" s="520"/>
      <c r="D5" s="520"/>
      <c r="E5" s="520"/>
      <c r="F5" s="520"/>
      <c r="G5" s="520"/>
      <c r="H5" s="520"/>
      <c r="I5" s="520"/>
      <c r="J5" s="520"/>
      <c r="K5" s="520"/>
      <c r="L5" s="638"/>
      <c r="M5" s="559"/>
      <c r="N5" s="520"/>
      <c r="O5" s="520"/>
      <c r="P5" s="520"/>
      <c r="Q5" s="520"/>
      <c r="R5" s="520"/>
      <c r="S5" s="520"/>
      <c r="T5" s="520"/>
      <c r="U5" s="520"/>
      <c r="V5" s="520"/>
      <c r="W5" s="520"/>
      <c r="X5" s="520"/>
      <c r="Y5" s="520"/>
      <c r="Z5" s="520"/>
      <c r="AA5" s="520"/>
      <c r="AB5" s="520"/>
      <c r="AC5" s="520"/>
      <c r="AD5" s="520"/>
      <c r="AE5" s="520"/>
      <c r="AF5" s="638"/>
      <c r="AG5" s="638"/>
      <c r="AH5" s="638"/>
      <c r="AI5" s="638"/>
      <c r="AJ5" s="638"/>
      <c r="AK5" s="1548"/>
      <c r="AL5" s="1548"/>
      <c r="AM5" s="638"/>
      <c r="AN5" s="1623"/>
      <c r="AO5" s="638"/>
      <c r="AP5" s="638"/>
      <c r="AQ5" s="1584"/>
    </row>
    <row r="6" spans="1:44" ht="18" customHeight="1" x14ac:dyDescent="0.25">
      <c r="A6" s="623" t="s">
        <v>1</v>
      </c>
      <c r="B6" s="639"/>
      <c r="C6" s="640"/>
      <c r="D6" s="640"/>
      <c r="E6" s="640"/>
      <c r="F6" s="640"/>
      <c r="G6" s="640"/>
      <c r="H6" s="640"/>
      <c r="I6" s="640"/>
      <c r="J6" s="640"/>
      <c r="K6" s="640"/>
      <c r="L6" s="641"/>
      <c r="M6" s="960" t="s">
        <v>54</v>
      </c>
      <c r="N6" s="640"/>
      <c r="O6" s="640"/>
      <c r="P6" s="640"/>
      <c r="Q6" s="640"/>
      <c r="R6" s="959" t="s">
        <v>54</v>
      </c>
      <c r="S6" s="640"/>
      <c r="T6" s="640"/>
      <c r="U6" s="640"/>
      <c r="V6" s="640"/>
      <c r="W6" s="640"/>
      <c r="X6" s="959" t="s">
        <v>54</v>
      </c>
      <c r="Y6" s="640"/>
      <c r="Z6" s="640"/>
      <c r="AA6" s="640"/>
      <c r="AB6" s="959" t="s">
        <v>55</v>
      </c>
      <c r="AC6" s="640"/>
      <c r="AD6" s="640"/>
      <c r="AE6" s="155"/>
      <c r="AF6" s="959" t="s">
        <v>55</v>
      </c>
      <c r="AG6" s="959" t="s">
        <v>55</v>
      </c>
      <c r="AH6" s="155"/>
      <c r="AI6" s="848"/>
      <c r="AJ6" s="962"/>
      <c r="AK6" s="1564"/>
      <c r="AL6" s="1564"/>
      <c r="AM6" s="848"/>
      <c r="AN6" s="1624"/>
      <c r="AO6" s="848"/>
      <c r="AP6" s="848"/>
      <c r="AQ6" s="1585"/>
    </row>
    <row r="7" spans="1:44" ht="18" customHeight="1" x14ac:dyDescent="0.25">
      <c r="A7" s="586"/>
      <c r="B7" s="560"/>
      <c r="C7" s="521"/>
      <c r="D7" s="521"/>
      <c r="E7" s="521"/>
      <c r="F7" s="521"/>
      <c r="G7" s="521"/>
      <c r="H7" s="521"/>
      <c r="I7" s="521"/>
      <c r="J7" s="521"/>
      <c r="K7" s="521"/>
      <c r="L7" s="676"/>
      <c r="M7" s="560"/>
      <c r="N7" s="521"/>
      <c r="O7" s="521"/>
      <c r="P7" s="521"/>
      <c r="Q7" s="521"/>
      <c r="R7" s="521"/>
      <c r="S7" s="521"/>
      <c r="T7" s="521"/>
      <c r="U7" s="521"/>
      <c r="V7" s="521"/>
      <c r="W7" s="521"/>
      <c r="X7" s="521"/>
      <c r="Y7" s="521"/>
      <c r="Z7" s="521"/>
      <c r="AA7" s="521"/>
      <c r="AB7" s="996"/>
      <c r="AC7" s="521"/>
      <c r="AD7" s="521"/>
      <c r="AE7" s="1032"/>
      <c r="AF7" s="676"/>
      <c r="AG7" s="676"/>
      <c r="AH7" s="1028"/>
      <c r="AI7" s="996"/>
      <c r="AJ7" s="1550" t="s">
        <v>210</v>
      </c>
      <c r="AK7" s="1549"/>
      <c r="AL7" s="1550"/>
      <c r="AM7" s="1299"/>
      <c r="AN7" s="1625"/>
      <c r="AO7" s="1299"/>
      <c r="AP7" s="1299"/>
      <c r="AQ7" s="1584"/>
      <c r="AR7" s="1529"/>
    </row>
    <row r="8" spans="1:44" ht="15" x14ac:dyDescent="0.25">
      <c r="A8" s="620" t="s">
        <v>57</v>
      </c>
      <c r="B8" s="1173">
        <v>1405.4269999999999</v>
      </c>
      <c r="C8" s="1172">
        <v>1618.162</v>
      </c>
      <c r="D8" s="1172">
        <v>1419.8019999999999</v>
      </c>
      <c r="E8" s="1172">
        <v>1479.865</v>
      </c>
      <c r="F8" s="423">
        <v>1457</v>
      </c>
      <c r="G8" s="423">
        <v>1465</v>
      </c>
      <c r="H8" s="1172">
        <v>1463.7909999999999</v>
      </c>
      <c r="I8" s="423">
        <v>1549.8150000000001</v>
      </c>
      <c r="J8" s="423">
        <v>1551.08</v>
      </c>
      <c r="K8" s="423">
        <v>1551.08</v>
      </c>
      <c r="L8" s="677">
        <v>1555</v>
      </c>
      <c r="M8" s="1173">
        <v>1556.0260000000001</v>
      </c>
      <c r="N8" s="423">
        <v>1603</v>
      </c>
      <c r="O8" s="423">
        <v>1601</v>
      </c>
      <c r="P8" s="423">
        <v>1603</v>
      </c>
      <c r="Q8" s="423">
        <v>1604</v>
      </c>
      <c r="R8" s="1246">
        <v>1607.1859999999999</v>
      </c>
      <c r="S8" s="1246">
        <v>1460</v>
      </c>
      <c r="T8" s="1246">
        <v>1442</v>
      </c>
      <c r="U8" s="1246">
        <v>1436</v>
      </c>
      <c r="V8" s="1246">
        <v>1438</v>
      </c>
      <c r="W8" s="1246">
        <v>1437</v>
      </c>
      <c r="X8" s="1246">
        <v>1436.596</v>
      </c>
      <c r="Y8" s="1246">
        <v>1531</v>
      </c>
      <c r="Z8" s="1246">
        <v>1507</v>
      </c>
      <c r="AA8" s="1246">
        <v>1505</v>
      </c>
      <c r="AB8" s="1246">
        <v>1503.0119999999999</v>
      </c>
      <c r="AC8" s="1246">
        <v>1471</v>
      </c>
      <c r="AD8" s="1246">
        <v>1465</v>
      </c>
      <c r="AE8" s="1246">
        <v>1468</v>
      </c>
      <c r="AF8" s="1247">
        <v>1472</v>
      </c>
      <c r="AG8" s="1247">
        <v>1477</v>
      </c>
      <c r="AH8" s="1247">
        <v>1498.64</v>
      </c>
      <c r="AI8" s="1246">
        <v>1506</v>
      </c>
      <c r="AJ8" s="1247">
        <v>1509</v>
      </c>
      <c r="AK8" s="1246">
        <v>1516.18</v>
      </c>
      <c r="AL8" s="1247">
        <v>1525.1020000000001</v>
      </c>
      <c r="AM8" s="677">
        <v>1550.72</v>
      </c>
      <c r="AN8" s="1626">
        <v>1550.4929999999999</v>
      </c>
      <c r="AO8" s="1523">
        <v>1550</v>
      </c>
      <c r="AP8" s="1523">
        <v>1461.1340000000005</v>
      </c>
      <c r="AQ8" s="1531">
        <f>AP8/AO8-1</f>
        <v>-5.7332903225806198E-2</v>
      </c>
      <c r="AR8" s="1530"/>
    </row>
    <row r="9" spans="1:44" ht="15" x14ac:dyDescent="0.25">
      <c r="A9" s="620" t="s">
        <v>58</v>
      </c>
      <c r="B9" s="1174">
        <f t="shared" ref="B9:G9" si="0">B10/B8*10</f>
        <v>29.491101280963012</v>
      </c>
      <c r="C9" s="1021">
        <f t="shared" si="0"/>
        <v>28.986411743694383</v>
      </c>
      <c r="D9" s="1021">
        <f t="shared" si="0"/>
        <v>33.215152535353525</v>
      </c>
      <c r="E9" s="1021">
        <f t="shared" si="0"/>
        <v>37.743334696070249</v>
      </c>
      <c r="F9" s="967">
        <f t="shared" si="0"/>
        <v>32.065888812628685</v>
      </c>
      <c r="G9" s="967">
        <f t="shared" si="0"/>
        <v>32.9</v>
      </c>
      <c r="H9" s="1021">
        <f t="shared" ref="H9:AE9" si="1">H10/H8*10</f>
        <v>32.867301411198738</v>
      </c>
      <c r="I9" s="425">
        <f t="shared" si="1"/>
        <v>33.5471588544439</v>
      </c>
      <c r="J9" s="425">
        <f t="shared" si="1"/>
        <v>34.530778554297655</v>
      </c>
      <c r="K9" s="425">
        <f t="shared" si="1"/>
        <v>34.363153415684558</v>
      </c>
      <c r="L9" s="678">
        <f t="shared" si="1"/>
        <v>34.4</v>
      </c>
      <c r="M9" s="1174">
        <f t="shared" si="1"/>
        <v>34.504635526655726</v>
      </c>
      <c r="N9" s="425">
        <f t="shared" si="1"/>
        <v>33.861509669369937</v>
      </c>
      <c r="O9" s="425">
        <f t="shared" si="1"/>
        <v>33.803872579637726</v>
      </c>
      <c r="P9" s="425">
        <f t="shared" si="1"/>
        <v>33.880224578914536</v>
      </c>
      <c r="Q9" s="425">
        <f t="shared" si="1"/>
        <v>33.859102244389028</v>
      </c>
      <c r="R9" s="1248">
        <f t="shared" si="1"/>
        <v>33.992238608350249</v>
      </c>
      <c r="S9" s="1248">
        <f t="shared" si="1"/>
        <v>32.534246575342465</v>
      </c>
      <c r="T9" s="1248">
        <f t="shared" si="1"/>
        <v>30.339805825242721</v>
      </c>
      <c r="U9" s="1248">
        <f t="shared" si="1"/>
        <v>30.069637883008355</v>
      </c>
      <c r="V9" s="1248">
        <f t="shared" si="1"/>
        <v>30.090403337969398</v>
      </c>
      <c r="W9" s="1248">
        <f t="shared" si="1"/>
        <v>30.097425191370913</v>
      </c>
      <c r="X9" s="1248">
        <f t="shared" si="1"/>
        <v>30.392678247746755</v>
      </c>
      <c r="Y9" s="1248">
        <f t="shared" si="1"/>
        <v>33.9</v>
      </c>
      <c r="Z9" s="1248">
        <f t="shared" si="1"/>
        <v>36.343729263437289</v>
      </c>
      <c r="AA9" s="1248">
        <f t="shared" si="1"/>
        <v>36.611295681063119</v>
      </c>
      <c r="AB9" s="1248">
        <f t="shared" si="1"/>
        <v>36.75349232075326</v>
      </c>
      <c r="AC9" s="1248">
        <f t="shared" si="1"/>
        <v>33.799999999999997</v>
      </c>
      <c r="AD9" s="1248">
        <f t="shared" si="1"/>
        <v>33.799999999999997</v>
      </c>
      <c r="AE9" s="1248">
        <f t="shared" si="1"/>
        <v>35.149863760217983</v>
      </c>
      <c r="AF9" s="1248">
        <f>AF10/AF8*10</f>
        <v>35.550271739130437</v>
      </c>
      <c r="AG9" s="1248">
        <f>AG10/AG8*10</f>
        <v>35.409614082599866</v>
      </c>
      <c r="AH9" s="1248">
        <f>AH10/AH8*10</f>
        <v>35.271979928468475</v>
      </c>
      <c r="AI9" s="1248">
        <f>AI10/AI8*10</f>
        <v>35.421009296148739</v>
      </c>
      <c r="AJ9" s="1551">
        <v>32.5</v>
      </c>
      <c r="AK9" s="1248">
        <f>AK10/AK8*10</f>
        <v>30.716933345644971</v>
      </c>
      <c r="AL9" s="1551">
        <v>30.517550301553594</v>
      </c>
      <c r="AM9" s="1300">
        <f>AM10/AM8*10</f>
        <v>30.488810359059016</v>
      </c>
      <c r="AN9" s="1627">
        <f>AN10/AN8*10</f>
        <v>30.555789674638973</v>
      </c>
      <c r="AO9" s="1508">
        <f>AO10/AO8*10</f>
        <v>30.56774193548387</v>
      </c>
      <c r="AP9" s="1256">
        <f>AP10/AP8*10</f>
        <v>37.492071226868966</v>
      </c>
      <c r="AQ9" s="1531">
        <f>AP9/AO9-1</f>
        <v>0.22652406926228164</v>
      </c>
      <c r="AR9" s="4"/>
    </row>
    <row r="10" spans="1:44" ht="15" x14ac:dyDescent="0.25">
      <c r="A10" s="620" t="s">
        <v>56</v>
      </c>
      <c r="B10" s="1173">
        <v>4144.759</v>
      </c>
      <c r="C10" s="1172">
        <v>4690.4709999999995</v>
      </c>
      <c r="D10" s="1172">
        <v>4715.8940000000002</v>
      </c>
      <c r="E10" s="1172">
        <v>5585.5039999999999</v>
      </c>
      <c r="F10" s="423">
        <v>4672</v>
      </c>
      <c r="G10" s="423">
        <v>4819.8500000000004</v>
      </c>
      <c r="H10" s="1172">
        <v>4811.0860000000002</v>
      </c>
      <c r="I10" s="423">
        <v>5199.1889999999976</v>
      </c>
      <c r="J10" s="423">
        <v>5356</v>
      </c>
      <c r="K10" s="423">
        <v>5330</v>
      </c>
      <c r="L10" s="677">
        <v>5349.2</v>
      </c>
      <c r="M10" s="1173">
        <v>5369.0110000000004</v>
      </c>
      <c r="N10" s="423">
        <v>5428</v>
      </c>
      <c r="O10" s="423">
        <v>5412</v>
      </c>
      <c r="P10" s="423">
        <v>5431</v>
      </c>
      <c r="Q10" s="423">
        <v>5431</v>
      </c>
      <c r="R10" s="1246">
        <v>5463.1850000000004</v>
      </c>
      <c r="S10" s="1246">
        <v>4750</v>
      </c>
      <c r="T10" s="1246">
        <v>4375</v>
      </c>
      <c r="U10" s="1246">
        <v>4318</v>
      </c>
      <c r="V10" s="1246">
        <v>4327</v>
      </c>
      <c r="W10" s="1246">
        <v>4325</v>
      </c>
      <c r="X10" s="1246">
        <v>4366.2</v>
      </c>
      <c r="Y10" s="1246">
        <v>5190.09</v>
      </c>
      <c r="Z10" s="1246">
        <v>5477</v>
      </c>
      <c r="AA10" s="1246">
        <v>5510</v>
      </c>
      <c r="AB10" s="1246">
        <v>5524.0940000000001</v>
      </c>
      <c r="AC10" s="1246">
        <v>4971.9799999999996</v>
      </c>
      <c r="AD10" s="1246">
        <v>4951.7</v>
      </c>
      <c r="AE10" s="1246">
        <v>5160</v>
      </c>
      <c r="AF10" s="1247">
        <v>5233</v>
      </c>
      <c r="AG10" s="1247">
        <v>5230</v>
      </c>
      <c r="AH10" s="1247">
        <v>5286</v>
      </c>
      <c r="AI10" s="1246">
        <v>5334.4040000000005</v>
      </c>
      <c r="AJ10" s="1247">
        <f>(AJ8*AJ9)/10</f>
        <v>4904.25</v>
      </c>
      <c r="AK10" s="1246">
        <v>4657.24</v>
      </c>
      <c r="AL10" s="1247">
        <v>4654.2377000000006</v>
      </c>
      <c r="AM10" s="677">
        <v>4727.9607999999998</v>
      </c>
      <c r="AN10" s="1626">
        <v>4737.6538</v>
      </c>
      <c r="AO10" s="1523">
        <v>4738</v>
      </c>
      <c r="AP10" s="1523">
        <v>5478.0939999999982</v>
      </c>
      <c r="AQ10" s="1531">
        <f>AP10/AO10-1</f>
        <v>0.15620388349514536</v>
      </c>
    </row>
    <row r="11" spans="1:44" ht="15" x14ac:dyDescent="0.25">
      <c r="A11" s="620"/>
      <c r="B11" s="505"/>
      <c r="C11" s="423"/>
      <c r="D11" s="423"/>
      <c r="E11" s="423"/>
      <c r="F11" s="423"/>
      <c r="G11" s="423"/>
      <c r="H11" s="423"/>
      <c r="I11" s="423"/>
      <c r="J11" s="423"/>
      <c r="K11" s="423"/>
      <c r="L11" s="677"/>
      <c r="M11" s="505"/>
      <c r="N11" s="423"/>
      <c r="O11" s="423"/>
      <c r="P11" s="423"/>
      <c r="Q11" s="423"/>
      <c r="R11" s="423"/>
      <c r="S11" s="423"/>
      <c r="T11" s="423"/>
      <c r="U11" s="423"/>
      <c r="V11" s="423"/>
      <c r="W11" s="423"/>
      <c r="X11" s="423"/>
      <c r="Y11" s="423"/>
      <c r="Z11" s="423"/>
      <c r="AA11" s="423"/>
      <c r="AB11" s="677"/>
      <c r="AC11" s="423"/>
      <c r="AD11" s="423"/>
      <c r="AE11" s="1033"/>
      <c r="AF11" s="677"/>
      <c r="AG11" s="677"/>
      <c r="AH11" s="995"/>
      <c r="AI11" s="677"/>
      <c r="AJ11" s="1247"/>
      <c r="AK11" s="1247"/>
      <c r="AL11" s="1247"/>
      <c r="AM11" s="677"/>
      <c r="AN11" s="1628"/>
      <c r="AO11" s="677"/>
      <c r="AP11" s="677"/>
      <c r="AQ11" s="1531"/>
    </row>
    <row r="12" spans="1:44" ht="15" customHeight="1" x14ac:dyDescent="0.2">
      <c r="A12" s="624" t="s">
        <v>60</v>
      </c>
      <c r="B12" s="386">
        <f t="shared" ref="B12:AE12" si="2">B10-B21</f>
        <v>141.49200000000019</v>
      </c>
      <c r="C12" s="175">
        <f t="shared" si="2"/>
        <v>197.44399999999951</v>
      </c>
      <c r="D12" s="175">
        <f t="shared" si="2"/>
        <v>228.07900000000063</v>
      </c>
      <c r="E12" s="175">
        <f t="shared" si="2"/>
        <v>123.56999999999971</v>
      </c>
      <c r="F12" s="175">
        <f t="shared" si="2"/>
        <v>142</v>
      </c>
      <c r="G12" s="175">
        <f t="shared" si="2"/>
        <v>100</v>
      </c>
      <c r="H12" s="175">
        <f t="shared" si="2"/>
        <v>97.554000000000087</v>
      </c>
      <c r="I12" s="175">
        <f t="shared" si="2"/>
        <v>164.78899999999794</v>
      </c>
      <c r="J12" s="175">
        <f t="shared" si="2"/>
        <v>179.60000000000036</v>
      </c>
      <c r="K12" s="175">
        <f t="shared" si="2"/>
        <v>67</v>
      </c>
      <c r="L12" s="679">
        <f t="shared" si="2"/>
        <v>24.199999999999818</v>
      </c>
      <c r="M12" s="386">
        <f t="shared" si="2"/>
        <v>81.186000000000604</v>
      </c>
      <c r="N12" s="175">
        <f t="shared" si="2"/>
        <v>78</v>
      </c>
      <c r="O12" s="175">
        <f t="shared" si="2"/>
        <v>102</v>
      </c>
      <c r="P12" s="175">
        <f t="shared" si="2"/>
        <v>166</v>
      </c>
      <c r="Q12" s="175">
        <f t="shared" si="2"/>
        <v>112</v>
      </c>
      <c r="R12" s="175">
        <f t="shared" si="2"/>
        <v>106.14400000000023</v>
      </c>
      <c r="S12" s="175">
        <f t="shared" si="2"/>
        <v>95</v>
      </c>
      <c r="T12" s="175">
        <f t="shared" si="2"/>
        <v>120</v>
      </c>
      <c r="U12" s="175">
        <f t="shared" si="2"/>
        <v>140</v>
      </c>
      <c r="V12" s="175">
        <f t="shared" si="2"/>
        <v>199</v>
      </c>
      <c r="W12" s="175">
        <f t="shared" si="2"/>
        <v>89</v>
      </c>
      <c r="X12" s="175">
        <f t="shared" si="2"/>
        <v>52.359999999999673</v>
      </c>
      <c r="Y12" s="175">
        <f t="shared" si="2"/>
        <v>104.09000000000015</v>
      </c>
      <c r="Z12" s="175">
        <f t="shared" si="2"/>
        <v>131</v>
      </c>
      <c r="AA12" s="175">
        <f t="shared" si="2"/>
        <v>138</v>
      </c>
      <c r="AB12" s="175">
        <f t="shared" si="2"/>
        <v>109.90700000000015</v>
      </c>
      <c r="AC12" s="175">
        <f t="shared" si="2"/>
        <v>99.4395999999997</v>
      </c>
      <c r="AD12" s="175">
        <f t="shared" si="2"/>
        <v>99.033999999999651</v>
      </c>
      <c r="AE12" s="1034">
        <f t="shared" si="2"/>
        <v>212</v>
      </c>
      <c r="AF12" s="687">
        <f>AF10-AF21</f>
        <v>179</v>
      </c>
      <c r="AG12" s="687">
        <f>AG10-AG21</f>
        <v>149</v>
      </c>
      <c r="AH12" s="1068">
        <f>AH10-AH21</f>
        <v>131</v>
      </c>
      <c r="AI12" s="175">
        <f>AI10-AI21</f>
        <v>128.44500000000062</v>
      </c>
      <c r="AJ12" s="1255"/>
      <c r="AK12" s="1206">
        <f t="shared" ref="AK12:AP12" si="3">AK10-AK21</f>
        <v>78.239999999999782</v>
      </c>
      <c r="AL12" s="1294">
        <f t="shared" si="3"/>
        <v>129.45070000000032</v>
      </c>
      <c r="AM12" s="679">
        <f t="shared" si="3"/>
        <v>124.36079999999947</v>
      </c>
      <c r="AN12" s="1629">
        <f t="shared" si="3"/>
        <v>77.553799999999683</v>
      </c>
      <c r="AO12" s="679">
        <f>AO10-AO21</f>
        <v>95</v>
      </c>
      <c r="AP12" s="1206">
        <f t="shared" si="3"/>
        <v>220.9711319138778</v>
      </c>
      <c r="AQ12" s="1531">
        <f>AP12/AO12-1</f>
        <v>1.3260119148829244</v>
      </c>
    </row>
    <row r="13" spans="1:44" ht="14.25" x14ac:dyDescent="0.2">
      <c r="A13" s="625" t="s">
        <v>61</v>
      </c>
      <c r="B13" s="387">
        <f>B12/B10</f>
        <v>3.4137569880420111E-2</v>
      </c>
      <c r="C13" s="181">
        <f t="shared" ref="C13:AN13" si="4">C12/C10</f>
        <v>4.2094706480436513E-2</v>
      </c>
      <c r="D13" s="181">
        <f t="shared" si="4"/>
        <v>4.8363894523498749E-2</v>
      </c>
      <c r="E13" s="181">
        <f t="shared" si="4"/>
        <v>2.2123339272516807E-2</v>
      </c>
      <c r="F13" s="181">
        <f t="shared" si="4"/>
        <v>3.0393835616438356E-2</v>
      </c>
      <c r="G13" s="181">
        <f t="shared" si="4"/>
        <v>2.0747533636938906E-2</v>
      </c>
      <c r="H13" s="181">
        <f t="shared" si="4"/>
        <v>2.0276918766365865E-2</v>
      </c>
      <c r="I13" s="181">
        <f t="shared" si="4"/>
        <v>3.1695135529790898E-2</v>
      </c>
      <c r="J13" s="181">
        <f t="shared" si="4"/>
        <v>3.3532486930545252E-2</v>
      </c>
      <c r="K13" s="181">
        <f t="shared" si="4"/>
        <v>1.2570356472795497E-2</v>
      </c>
      <c r="L13" s="680">
        <f t="shared" si="4"/>
        <v>4.5240409780901479E-3</v>
      </c>
      <c r="M13" s="387">
        <f t="shared" si="4"/>
        <v>1.5121220649389729E-2</v>
      </c>
      <c r="N13" s="181">
        <f t="shared" si="4"/>
        <v>1.4369933677229182E-2</v>
      </c>
      <c r="O13" s="181">
        <f t="shared" si="4"/>
        <v>1.8847006651884702E-2</v>
      </c>
      <c r="P13" s="181">
        <f t="shared" si="4"/>
        <v>3.0565273430307495E-2</v>
      </c>
      <c r="Q13" s="181">
        <f t="shared" si="4"/>
        <v>2.0622353157797826E-2</v>
      </c>
      <c r="R13" s="181">
        <f t="shared" si="4"/>
        <v>1.9428959480596066E-2</v>
      </c>
      <c r="S13" s="181">
        <f t="shared" si="4"/>
        <v>0.02</v>
      </c>
      <c r="T13" s="181">
        <f t="shared" si="4"/>
        <v>2.7428571428571427E-2</v>
      </c>
      <c r="U13" s="181">
        <f t="shared" si="4"/>
        <v>3.2422417786012042E-2</v>
      </c>
      <c r="V13" s="181">
        <f t="shared" si="4"/>
        <v>4.5990293505893232E-2</v>
      </c>
      <c r="W13" s="181">
        <f t="shared" si="4"/>
        <v>2.0578034682080925E-2</v>
      </c>
      <c r="X13" s="181">
        <f t="shared" si="4"/>
        <v>1.1992121295405542E-2</v>
      </c>
      <c r="Y13" s="181">
        <f t="shared" si="4"/>
        <v>2.0055528902196328E-2</v>
      </c>
      <c r="Z13" s="181">
        <f t="shared" si="4"/>
        <v>2.3918203396019719E-2</v>
      </c>
      <c r="AA13" s="181">
        <f t="shared" si="4"/>
        <v>2.5045372050816698E-2</v>
      </c>
      <c r="AB13" s="181">
        <f t="shared" si="4"/>
        <v>1.9895932256040565E-2</v>
      </c>
      <c r="AC13" s="181">
        <f t="shared" si="4"/>
        <v>1.9999999999999941E-2</v>
      </c>
      <c r="AD13" s="181">
        <f t="shared" si="4"/>
        <v>1.9999999999999931E-2</v>
      </c>
      <c r="AE13" s="1035">
        <f t="shared" si="4"/>
        <v>4.1085271317829457E-2</v>
      </c>
      <c r="AF13" s="680">
        <f t="shared" si="4"/>
        <v>3.4206000382189947E-2</v>
      </c>
      <c r="AG13" s="680">
        <f t="shared" si="4"/>
        <v>2.8489483747609942E-2</v>
      </c>
      <c r="AH13" s="1069">
        <f t="shared" si="4"/>
        <v>2.4782444192205828E-2</v>
      </c>
      <c r="AI13" s="181">
        <f t="shared" si="4"/>
        <v>2.4078603720303262E-2</v>
      </c>
      <c r="AJ13" s="1524"/>
      <c r="AK13" s="1509">
        <f t="shared" si="4"/>
        <v>1.6799649577861519E-2</v>
      </c>
      <c r="AL13" s="1524">
        <f t="shared" si="4"/>
        <v>2.7813512833691392E-2</v>
      </c>
      <c r="AM13" s="680">
        <f t="shared" si="4"/>
        <v>2.6303263766484584E-2</v>
      </c>
      <c r="AN13" s="1630">
        <f t="shared" si="4"/>
        <v>1.6369663819673714E-2</v>
      </c>
      <c r="AO13" s="680">
        <f>AO12/AO10</f>
        <v>2.0050654284508231E-2</v>
      </c>
      <c r="AP13" s="1509">
        <f>AP12/AP10</f>
        <v>4.0337228954793011E-2</v>
      </c>
      <c r="AQ13" s="1531">
        <f>AP13/AO13-1</f>
        <v>1.0117662188190453</v>
      </c>
    </row>
    <row r="14" spans="1:44" ht="14.25" x14ac:dyDescent="0.2">
      <c r="A14" s="1330"/>
      <c r="B14" s="642"/>
      <c r="C14" s="189"/>
      <c r="D14" s="190"/>
      <c r="E14" s="190"/>
      <c r="F14" s="190"/>
      <c r="G14" s="190"/>
      <c r="H14" s="190"/>
      <c r="I14" s="190"/>
      <c r="J14" s="190"/>
      <c r="K14" s="190"/>
      <c r="L14" s="363"/>
      <c r="M14" s="389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036"/>
      <c r="AF14" s="363"/>
      <c r="AG14" s="363"/>
      <c r="AH14" s="1070"/>
      <c r="AI14" s="190"/>
      <c r="AJ14" s="1525"/>
      <c r="AK14" s="1552"/>
      <c r="AL14" s="1525"/>
      <c r="AM14" s="363"/>
      <c r="AN14" s="1631"/>
      <c r="AO14" s="1525"/>
      <c r="AP14" s="1525"/>
      <c r="AQ14" s="1531"/>
    </row>
    <row r="15" spans="1:44" ht="14.25" x14ac:dyDescent="0.2">
      <c r="A15" s="624" t="s">
        <v>251</v>
      </c>
      <c r="B15" s="1113"/>
      <c r="C15" s="1114"/>
      <c r="D15" s="1115"/>
      <c r="E15" s="1115"/>
      <c r="F15" s="1115"/>
      <c r="G15" s="1115"/>
      <c r="H15" s="1116"/>
      <c r="I15" s="1116"/>
      <c r="J15" s="1115"/>
      <c r="K15" s="1115"/>
      <c r="L15" s="1117"/>
      <c r="M15" s="1118"/>
      <c r="N15" s="1116"/>
      <c r="O15" s="1116"/>
      <c r="P15" s="1116"/>
      <c r="Q15" s="1116"/>
      <c r="R15" s="194"/>
      <c r="S15" s="643"/>
      <c r="T15" s="643"/>
      <c r="U15" s="643"/>
      <c r="V15" s="643"/>
      <c r="W15" s="194"/>
      <c r="X15" s="194"/>
      <c r="Y15" s="194"/>
      <c r="Z15" s="194"/>
      <c r="AA15" s="194"/>
      <c r="AB15" s="432"/>
      <c r="AC15" s="194"/>
      <c r="AD15" s="194"/>
      <c r="AE15" s="1041">
        <v>2871</v>
      </c>
      <c r="AF15" s="687">
        <v>4136</v>
      </c>
      <c r="AG15" s="687">
        <v>4510</v>
      </c>
      <c r="AH15" s="1068"/>
      <c r="AI15" s="432"/>
      <c r="AJ15" s="1255"/>
      <c r="AK15" s="1553"/>
      <c r="AL15" s="1255"/>
      <c r="AM15" s="687"/>
      <c r="AN15" s="1632">
        <f>4610815.4/1000</f>
        <v>4610.8154000000004</v>
      </c>
      <c r="AO15" s="1195"/>
      <c r="AP15" s="1528">
        <f>2766590.6/1000</f>
        <v>2766.5906</v>
      </c>
      <c r="AQ15" s="1531"/>
    </row>
    <row r="16" spans="1:44" ht="14.25" x14ac:dyDescent="0.2">
      <c r="A16" s="621" t="s">
        <v>191</v>
      </c>
      <c r="B16" s="1113"/>
      <c r="C16" s="1114"/>
      <c r="D16" s="1115"/>
      <c r="E16" s="1115"/>
      <c r="F16" s="1115"/>
      <c r="G16" s="1115"/>
      <c r="H16" s="1116"/>
      <c r="I16" s="1116"/>
      <c r="J16" s="1115"/>
      <c r="K16" s="1115"/>
      <c r="L16" s="1117"/>
      <c r="M16" s="1118"/>
      <c r="N16" s="1116">
        <f t="shared" ref="N16:W16" si="5">N15/N10</f>
        <v>0</v>
      </c>
      <c r="O16" s="1116">
        <f t="shared" si="5"/>
        <v>0</v>
      </c>
      <c r="P16" s="1116">
        <f t="shared" si="5"/>
        <v>0</v>
      </c>
      <c r="Q16" s="1116">
        <f t="shared" si="5"/>
        <v>0</v>
      </c>
      <c r="R16" s="194"/>
      <c r="S16" s="643">
        <f t="shared" si="5"/>
        <v>0</v>
      </c>
      <c r="T16" s="643">
        <f t="shared" si="5"/>
        <v>0</v>
      </c>
      <c r="U16" s="643">
        <f t="shared" si="5"/>
        <v>0</v>
      </c>
      <c r="V16" s="643">
        <f t="shared" si="5"/>
        <v>0</v>
      </c>
      <c r="W16" s="194">
        <f t="shared" si="5"/>
        <v>0</v>
      </c>
      <c r="X16" s="194"/>
      <c r="Y16" s="194"/>
      <c r="Z16" s="194"/>
      <c r="AA16" s="194"/>
      <c r="AB16" s="181"/>
      <c r="AC16" s="194"/>
      <c r="AD16" s="194"/>
      <c r="AE16" s="1035">
        <f>AE15/AE10</f>
        <v>0.55639534883720931</v>
      </c>
      <c r="AF16" s="680">
        <f>AF15/AF10</f>
        <v>0.79036881330021025</v>
      </c>
      <c r="AG16" s="680">
        <f>AG15/AG10</f>
        <v>0.86233269598470363</v>
      </c>
      <c r="AH16" s="1069"/>
      <c r="AI16" s="181"/>
      <c r="AJ16" s="1524"/>
      <c r="AK16" s="1509"/>
      <c r="AL16" s="1524"/>
      <c r="AM16" s="680"/>
      <c r="AN16" s="1630">
        <f>AN15/AN10</f>
        <v>0.97322759210476717</v>
      </c>
      <c r="AO16" s="1524"/>
      <c r="AP16" s="1524">
        <f>AP15/AP10</f>
        <v>0.50502795315304938</v>
      </c>
      <c r="AQ16" s="1531"/>
    </row>
    <row r="17" spans="1:47" ht="14.25" x14ac:dyDescent="0.2">
      <c r="A17" s="621" t="s">
        <v>29</v>
      </c>
      <c r="B17" s="1113"/>
      <c r="C17" s="1114"/>
      <c r="D17" s="1115"/>
      <c r="E17" s="1115"/>
      <c r="F17" s="1115"/>
      <c r="G17" s="1115"/>
      <c r="H17" s="1116"/>
      <c r="I17" s="1116"/>
      <c r="J17" s="1115"/>
      <c r="K17" s="1115"/>
      <c r="L17" s="1117"/>
      <c r="M17" s="1118"/>
      <c r="N17" s="1116"/>
      <c r="O17" s="1116"/>
      <c r="P17" s="1116"/>
      <c r="Q17" s="1116"/>
      <c r="R17" s="194"/>
      <c r="S17" s="643"/>
      <c r="T17" s="643"/>
      <c r="U17" s="643"/>
      <c r="V17" s="643"/>
      <c r="W17" s="194"/>
      <c r="X17" s="194"/>
      <c r="Y17" s="194"/>
      <c r="Z17" s="194"/>
      <c r="AA17" s="194"/>
      <c r="AB17" s="181"/>
      <c r="AC17" s="194"/>
      <c r="AD17" s="194"/>
      <c r="AE17" s="1035">
        <f>AE15/AE21</f>
        <v>0.58023443815683107</v>
      </c>
      <c r="AF17" s="680">
        <f>AF15/AF21</f>
        <v>0.81836169370795409</v>
      </c>
      <c r="AG17" s="680">
        <f>AG15/AG21</f>
        <v>0.88762054713639049</v>
      </c>
      <c r="AH17" s="1069"/>
      <c r="AI17" s="181"/>
      <c r="AJ17" s="1524"/>
      <c r="AK17" s="1509"/>
      <c r="AL17" s="1524"/>
      <c r="AM17" s="680"/>
      <c r="AN17" s="1630">
        <f>AN15/AN21</f>
        <v>0.98942413252934491</v>
      </c>
      <c r="AO17" s="1524"/>
      <c r="AP17" s="1524">
        <f>AP15/AP21</f>
        <v>0.52625564770320654</v>
      </c>
      <c r="AQ17" s="1531"/>
    </row>
    <row r="18" spans="1:47" ht="14.25" x14ac:dyDescent="0.2">
      <c r="A18" s="621"/>
      <c r="B18" s="642"/>
      <c r="C18" s="196"/>
      <c r="D18" s="197"/>
      <c r="E18" s="197"/>
      <c r="F18" s="197"/>
      <c r="G18" s="197"/>
      <c r="H18" s="643"/>
      <c r="I18" s="643"/>
      <c r="J18" s="197"/>
      <c r="K18" s="197"/>
      <c r="L18" s="681"/>
      <c r="M18" s="690"/>
      <c r="N18" s="643"/>
      <c r="O18" s="643"/>
      <c r="P18" s="643"/>
      <c r="Q18" s="643"/>
      <c r="R18" s="194"/>
      <c r="S18" s="643"/>
      <c r="T18" s="643"/>
      <c r="U18" s="643"/>
      <c r="V18" s="643"/>
      <c r="W18" s="194"/>
      <c r="X18" s="194"/>
      <c r="Y18" s="194"/>
      <c r="Z18" s="194"/>
      <c r="AA18" s="194"/>
      <c r="AB18" s="194"/>
      <c r="AC18" s="194"/>
      <c r="AD18" s="194"/>
      <c r="AE18" s="1038"/>
      <c r="AF18" s="365"/>
      <c r="AG18" s="365"/>
      <c r="AH18" s="1071"/>
      <c r="AI18" s="194"/>
      <c r="AJ18" s="1526"/>
      <c r="AK18" s="1543"/>
      <c r="AL18" s="1526"/>
      <c r="AM18" s="365"/>
      <c r="AN18" s="1633"/>
      <c r="AO18" s="1526"/>
      <c r="AP18" s="1526"/>
      <c r="AQ18" s="1531"/>
    </row>
    <row r="19" spans="1:47" ht="15" x14ac:dyDescent="0.25">
      <c r="A19" s="627" t="s">
        <v>59</v>
      </c>
      <c r="B19" s="642"/>
      <c r="C19" s="196"/>
      <c r="D19" s="197"/>
      <c r="E19" s="197"/>
      <c r="F19" s="197"/>
      <c r="G19" s="197"/>
      <c r="H19" s="197"/>
      <c r="I19" s="197"/>
      <c r="J19" s="197"/>
      <c r="K19" s="197"/>
      <c r="L19" s="366"/>
      <c r="M19" s="392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039"/>
      <c r="AF19" s="366"/>
      <c r="AG19" s="366"/>
      <c r="AH19" s="1072"/>
      <c r="AI19" s="197"/>
      <c r="AJ19" s="1527"/>
      <c r="AK19" s="1554"/>
      <c r="AL19" s="1527"/>
      <c r="AM19" s="366"/>
      <c r="AN19" s="1634"/>
      <c r="AO19" s="1527"/>
      <c r="AP19" s="1527"/>
      <c r="AQ19" s="1531"/>
    </row>
    <row r="20" spans="1:47" ht="15" x14ac:dyDescent="0.25">
      <c r="A20" s="628" t="s">
        <v>2</v>
      </c>
      <c r="B20" s="1161">
        <v>374.55500000000001</v>
      </c>
      <c r="C20" s="1146">
        <f>B42</f>
        <v>258.13233000000037</v>
      </c>
      <c r="D20" s="1146">
        <f>C42</f>
        <v>190.4400599999999</v>
      </c>
      <c r="E20" s="1146">
        <f>D42</f>
        <v>208.68191000000024</v>
      </c>
      <c r="F20" s="200">
        <v>270</v>
      </c>
      <c r="G20" s="200">
        <v>331</v>
      </c>
      <c r="H20" s="1146">
        <f>E42</f>
        <v>329.78257000000031</v>
      </c>
      <c r="I20" s="200">
        <v>238</v>
      </c>
      <c r="J20" s="200">
        <v>285.52899999999954</v>
      </c>
      <c r="K20" s="200">
        <v>285.52899999999954</v>
      </c>
      <c r="L20" s="682">
        <v>285.77</v>
      </c>
      <c r="M20" s="1161">
        <f>H42</f>
        <v>260.54724999999962</v>
      </c>
      <c r="N20" s="200">
        <v>215</v>
      </c>
      <c r="O20" s="200">
        <v>215</v>
      </c>
      <c r="P20" s="200">
        <v>215</v>
      </c>
      <c r="Q20" s="200">
        <v>215</v>
      </c>
      <c r="R20" s="729">
        <f>M42</f>
        <v>109.25799999999981</v>
      </c>
      <c r="S20" s="729">
        <v>70</v>
      </c>
      <c r="T20" s="729">
        <v>149.37</v>
      </c>
      <c r="U20" s="729">
        <v>149</v>
      </c>
      <c r="V20" s="729">
        <v>149</v>
      </c>
      <c r="W20" s="729">
        <v>149</v>
      </c>
      <c r="X20" s="729">
        <f>R42</f>
        <v>122.661</v>
      </c>
      <c r="Y20" s="729">
        <v>107.64</v>
      </c>
      <c r="Z20" s="729">
        <v>90</v>
      </c>
      <c r="AA20" s="729">
        <v>90</v>
      </c>
      <c r="AB20" s="729">
        <f>X42</f>
        <v>63.383000000000003</v>
      </c>
      <c r="AC20" s="729">
        <v>71.159999999999854</v>
      </c>
      <c r="AD20" s="729">
        <v>18</v>
      </c>
      <c r="AE20" s="729">
        <v>69</v>
      </c>
      <c r="AF20" s="1249">
        <v>69</v>
      </c>
      <c r="AG20" s="1249">
        <v>69</v>
      </c>
      <c r="AH20" s="1249">
        <v>69</v>
      </c>
      <c r="AI20" s="729">
        <f>AB42</f>
        <v>63.36</v>
      </c>
      <c r="AJ20" s="1249">
        <f>AH42</f>
        <v>96.449999999999818</v>
      </c>
      <c r="AK20" s="729">
        <f>AI42</f>
        <v>136.83100000000002</v>
      </c>
      <c r="AL20" s="729">
        <f>AI42</f>
        <v>136.83100000000002</v>
      </c>
      <c r="AM20" s="682">
        <f>AI42</f>
        <v>136.83100000000002</v>
      </c>
      <c r="AN20" s="1635">
        <f>AI42</f>
        <v>136.83100000000002</v>
      </c>
      <c r="AO20" s="851">
        <f>AI42</f>
        <v>136.83100000000002</v>
      </c>
      <c r="AP20" s="851">
        <f>AO42</f>
        <v>138.80000000000001</v>
      </c>
      <c r="AQ20" s="1531">
        <f>AP20/AO20-1</f>
        <v>1.439001395882511E-2</v>
      </c>
    </row>
    <row r="21" spans="1:47" ht="15" x14ac:dyDescent="0.25">
      <c r="A21" s="629" t="s">
        <v>21</v>
      </c>
      <c r="B21" s="1147">
        <v>4003.2669999999998</v>
      </c>
      <c r="C21" s="1148">
        <v>4493.027</v>
      </c>
      <c r="D21" s="1148">
        <v>4487.8149999999996</v>
      </c>
      <c r="E21" s="1148">
        <v>5461.9340000000002</v>
      </c>
      <c r="F21" s="722">
        <v>4530</v>
      </c>
      <c r="G21" s="722">
        <v>4719.8500000000004</v>
      </c>
      <c r="H21" s="1148">
        <v>4713.5320000000002</v>
      </c>
      <c r="I21" s="722">
        <v>5034.3999999999996</v>
      </c>
      <c r="J21" s="722">
        <v>5176.3999999999996</v>
      </c>
      <c r="K21" s="722">
        <v>5263</v>
      </c>
      <c r="L21" s="851">
        <v>5325</v>
      </c>
      <c r="M21" s="1147">
        <v>5287.8249999999998</v>
      </c>
      <c r="N21" s="722">
        <v>5350</v>
      </c>
      <c r="O21" s="722">
        <v>5310</v>
      </c>
      <c r="P21" s="722">
        <v>5265</v>
      </c>
      <c r="Q21" s="722">
        <v>5319</v>
      </c>
      <c r="R21" s="1250">
        <v>5357.0410000000002</v>
      </c>
      <c r="S21" s="1250">
        <v>4655</v>
      </c>
      <c r="T21" s="1250">
        <v>4255</v>
      </c>
      <c r="U21" s="1250">
        <v>4178</v>
      </c>
      <c r="V21" s="1250">
        <v>4128</v>
      </c>
      <c r="W21" s="1250">
        <v>4236</v>
      </c>
      <c r="X21" s="1250">
        <v>4313.84</v>
      </c>
      <c r="Y21" s="1250">
        <v>5086</v>
      </c>
      <c r="Z21" s="1250">
        <v>5346</v>
      </c>
      <c r="AA21" s="1250">
        <v>5372</v>
      </c>
      <c r="AB21" s="1250">
        <v>5414.1869999999999</v>
      </c>
      <c r="AC21" s="1250">
        <v>4872.5403999999999</v>
      </c>
      <c r="AD21" s="1250">
        <v>4852.6660000000002</v>
      </c>
      <c r="AE21" s="1250">
        <v>4948</v>
      </c>
      <c r="AF21" s="1251">
        <v>5054</v>
      </c>
      <c r="AG21" s="1251">
        <v>5081</v>
      </c>
      <c r="AH21" s="1251">
        <v>5155</v>
      </c>
      <c r="AI21" s="1250">
        <v>5205.9589999999998</v>
      </c>
      <c r="AJ21" s="1251">
        <f>AJ22*AJ10</f>
        <v>4806.165</v>
      </c>
      <c r="AK21" s="1250">
        <v>4579</v>
      </c>
      <c r="AL21" s="1304">
        <v>4524.7870000000003</v>
      </c>
      <c r="AM21" s="1301">
        <v>4603.6000000000004</v>
      </c>
      <c r="AN21" s="1636">
        <f>4660100/1000</f>
        <v>4660.1000000000004</v>
      </c>
      <c r="AO21" s="1747">
        <v>4643</v>
      </c>
      <c r="AP21" s="1502">
        <f>5257122.86808612/1000</f>
        <v>5257.1228680861204</v>
      </c>
      <c r="AQ21" s="1531">
        <f>AP21/AO21-1</f>
        <v>0.13226854794015086</v>
      </c>
    </row>
    <row r="22" spans="1:47" ht="14.25" x14ac:dyDescent="0.2">
      <c r="A22" s="621" t="s">
        <v>30</v>
      </c>
      <c r="B22" s="387">
        <f>B21/B10</f>
        <v>0.96586243011957984</v>
      </c>
      <c r="C22" s="181">
        <f t="shared" ref="C22:X22" si="6">C21/C10</f>
        <v>0.95790529351956344</v>
      </c>
      <c r="D22" s="181">
        <f t="shared" si="6"/>
        <v>0.95163610547650124</v>
      </c>
      <c r="E22" s="181">
        <f t="shared" si="6"/>
        <v>0.97787666072748325</v>
      </c>
      <c r="F22" s="181">
        <f t="shared" si="6"/>
        <v>0.96960616438356162</v>
      </c>
      <c r="G22" s="181">
        <f t="shared" si="6"/>
        <v>0.97925246636306107</v>
      </c>
      <c r="H22" s="181">
        <f t="shared" si="6"/>
        <v>0.97972308123363416</v>
      </c>
      <c r="I22" s="181">
        <f t="shared" si="6"/>
        <v>0.96830486447020914</v>
      </c>
      <c r="J22" s="181">
        <f t="shared" si="6"/>
        <v>0.96646751306945478</v>
      </c>
      <c r="K22" s="181">
        <f t="shared" si="6"/>
        <v>0.98742964352720453</v>
      </c>
      <c r="L22" s="680">
        <f t="shared" si="6"/>
        <v>0.99547595902190988</v>
      </c>
      <c r="M22" s="387">
        <f t="shared" si="6"/>
        <v>0.9848787793506103</v>
      </c>
      <c r="N22" s="181">
        <f t="shared" si="6"/>
        <v>0.98563006632277084</v>
      </c>
      <c r="O22" s="181">
        <f t="shared" si="6"/>
        <v>0.98115299334811534</v>
      </c>
      <c r="P22" s="181">
        <f t="shared" si="6"/>
        <v>0.96943472656969254</v>
      </c>
      <c r="Q22" s="181">
        <f t="shared" si="6"/>
        <v>0.97937764684220219</v>
      </c>
      <c r="R22" s="181">
        <f t="shared" si="6"/>
        <v>0.98057104051940391</v>
      </c>
      <c r="S22" s="181">
        <f t="shared" si="6"/>
        <v>0.98</v>
      </c>
      <c r="T22" s="181">
        <f t="shared" si="6"/>
        <v>0.97257142857142853</v>
      </c>
      <c r="U22" s="181">
        <f t="shared" si="6"/>
        <v>0.96757758221398793</v>
      </c>
      <c r="V22" s="181">
        <f t="shared" si="6"/>
        <v>0.95400970649410677</v>
      </c>
      <c r="W22" s="181">
        <f t="shared" si="6"/>
        <v>0.97942196531791903</v>
      </c>
      <c r="X22" s="181">
        <f t="shared" si="6"/>
        <v>0.9880078787045945</v>
      </c>
      <c r="Y22" s="181">
        <v>0.97994447109780369</v>
      </c>
      <c r="Z22" s="181">
        <v>0.97608179660398031</v>
      </c>
      <c r="AA22" s="181">
        <v>0.97495462794918331</v>
      </c>
      <c r="AB22" s="181">
        <f>AB21/AB10</f>
        <v>0.98010406774395942</v>
      </c>
      <c r="AC22" s="181">
        <v>0.98</v>
      </c>
      <c r="AD22" s="181">
        <v>0.98</v>
      </c>
      <c r="AE22" s="1035">
        <v>0.95891472868217054</v>
      </c>
      <c r="AF22" s="680">
        <v>0.95891472868217054</v>
      </c>
      <c r="AG22" s="680">
        <v>0.95891472868217054</v>
      </c>
      <c r="AH22" s="1069">
        <f>AH21/AH10</f>
        <v>0.97521755580779412</v>
      </c>
      <c r="AI22" s="181">
        <f>AI21/AI10</f>
        <v>0.97592139627969676</v>
      </c>
      <c r="AJ22" s="1524">
        <v>0.98</v>
      </c>
      <c r="AK22" s="1509">
        <f t="shared" ref="AK22:AP22" si="7">AK21/AK10</f>
        <v>0.98320035042213849</v>
      </c>
      <c r="AL22" s="1524">
        <f t="shared" si="7"/>
        <v>0.97218648716630862</v>
      </c>
      <c r="AM22" s="680">
        <f t="shared" si="7"/>
        <v>0.97369673623351538</v>
      </c>
      <c r="AN22" s="1630">
        <f t="shared" si="7"/>
        <v>0.98363033618032625</v>
      </c>
      <c r="AO22" s="680">
        <f>AO21/AO10</f>
        <v>0.97994934571549175</v>
      </c>
      <c r="AP22" s="680">
        <f t="shared" si="7"/>
        <v>0.95966277104520703</v>
      </c>
      <c r="AQ22" s="1531"/>
    </row>
    <row r="23" spans="1:47" ht="14.25" x14ac:dyDescent="0.2">
      <c r="A23" s="630" t="s">
        <v>31</v>
      </c>
      <c r="B23" s="386">
        <v>96</v>
      </c>
      <c r="C23" s="175">
        <v>104</v>
      </c>
      <c r="D23" s="175">
        <v>181</v>
      </c>
      <c r="E23" s="175">
        <v>221</v>
      </c>
      <c r="F23" s="175">
        <v>0</v>
      </c>
      <c r="G23" s="175">
        <v>0</v>
      </c>
      <c r="H23" s="175">
        <v>173</v>
      </c>
      <c r="I23" s="175"/>
      <c r="J23" s="175"/>
      <c r="K23" s="175"/>
      <c r="L23" s="679"/>
      <c r="M23" s="386">
        <v>-68</v>
      </c>
      <c r="N23" s="175"/>
      <c r="O23" s="175"/>
      <c r="P23" s="175"/>
      <c r="Q23" s="175"/>
      <c r="R23" s="175">
        <f>247-19</f>
        <v>228</v>
      </c>
      <c r="S23" s="175"/>
      <c r="T23" s="175"/>
      <c r="U23" s="175"/>
      <c r="V23" s="175"/>
      <c r="W23" s="175"/>
      <c r="X23" s="175">
        <v>129</v>
      </c>
      <c r="Y23" s="175"/>
      <c r="Z23" s="175"/>
      <c r="AA23" s="175"/>
      <c r="AB23" s="175">
        <v>205</v>
      </c>
      <c r="AC23" s="175"/>
      <c r="AD23" s="175"/>
      <c r="AE23" s="1034"/>
      <c r="AF23" s="679"/>
      <c r="AG23" s="679"/>
      <c r="AH23" s="1073"/>
      <c r="AI23" s="175">
        <v>86</v>
      </c>
      <c r="AJ23" s="1294"/>
      <c r="AK23" s="1206"/>
      <c r="AL23" s="1294"/>
      <c r="AM23" s="679"/>
      <c r="AN23" s="1629"/>
      <c r="AO23" s="1739">
        <v>9</v>
      </c>
      <c r="AP23" s="679"/>
      <c r="AQ23" s="1531"/>
    </row>
    <row r="24" spans="1:47" ht="15" x14ac:dyDescent="0.25">
      <c r="A24" s="627" t="s">
        <v>20</v>
      </c>
      <c r="B24" s="1196">
        <f t="shared" ref="B24:AI24" si="8">B25+B26</f>
        <v>106.74199999999999</v>
      </c>
      <c r="C24" s="441">
        <f t="shared" si="8"/>
        <v>286.601</v>
      </c>
      <c r="D24" s="441">
        <f t="shared" si="8"/>
        <v>920.57300000000009</v>
      </c>
      <c r="E24" s="441">
        <f t="shared" si="8"/>
        <v>551.63699999999994</v>
      </c>
      <c r="F24" s="441">
        <f t="shared" si="8"/>
        <v>800</v>
      </c>
      <c r="G24" s="441">
        <f t="shared" si="8"/>
        <v>940</v>
      </c>
      <c r="H24" s="731">
        <f t="shared" si="8"/>
        <v>942.42800000000011</v>
      </c>
      <c r="I24" s="441">
        <f t="shared" si="8"/>
        <v>600</v>
      </c>
      <c r="J24" s="441">
        <f t="shared" si="8"/>
        <v>450</v>
      </c>
      <c r="K24" s="441">
        <f t="shared" si="8"/>
        <v>550</v>
      </c>
      <c r="L24" s="1197">
        <f t="shared" si="8"/>
        <v>665</v>
      </c>
      <c r="M24" s="1198">
        <f t="shared" si="8"/>
        <v>691.54899999999998</v>
      </c>
      <c r="N24" s="731">
        <f t="shared" si="8"/>
        <v>550</v>
      </c>
      <c r="O24" s="731">
        <f t="shared" si="8"/>
        <v>650</v>
      </c>
      <c r="P24" s="731">
        <f t="shared" si="8"/>
        <v>695</v>
      </c>
      <c r="Q24" s="731">
        <f t="shared" si="8"/>
        <v>625</v>
      </c>
      <c r="R24" s="731">
        <f t="shared" si="8"/>
        <v>684.74800000000005</v>
      </c>
      <c r="S24" s="731">
        <f t="shared" si="8"/>
        <v>750</v>
      </c>
      <c r="T24" s="731">
        <f t="shared" si="8"/>
        <v>950</v>
      </c>
      <c r="U24" s="731">
        <f t="shared" si="8"/>
        <v>1200</v>
      </c>
      <c r="V24" s="731">
        <f t="shared" si="8"/>
        <v>1200</v>
      </c>
      <c r="W24" s="731">
        <f t="shared" si="8"/>
        <v>1200</v>
      </c>
      <c r="X24" s="731">
        <f t="shared" si="8"/>
        <v>1174.3150000000001</v>
      </c>
      <c r="Y24" s="731">
        <f t="shared" si="8"/>
        <v>700</v>
      </c>
      <c r="Z24" s="731">
        <f t="shared" si="8"/>
        <v>650</v>
      </c>
      <c r="AA24" s="731">
        <f t="shared" si="8"/>
        <v>660</v>
      </c>
      <c r="AB24" s="731">
        <f t="shared" si="8"/>
        <v>723.96199999999999</v>
      </c>
      <c r="AC24" s="731">
        <f t="shared" si="8"/>
        <v>900</v>
      </c>
      <c r="AD24" s="731">
        <f t="shared" si="8"/>
        <v>1000</v>
      </c>
      <c r="AE24" s="731">
        <f t="shared" si="8"/>
        <v>1100</v>
      </c>
      <c r="AF24" s="777">
        <f t="shared" si="8"/>
        <v>1300</v>
      </c>
      <c r="AG24" s="777">
        <f t="shared" si="8"/>
        <v>1230</v>
      </c>
      <c r="AH24" s="777">
        <f t="shared" si="8"/>
        <v>1200</v>
      </c>
      <c r="AI24" s="731">
        <f t="shared" si="8"/>
        <v>1190.49</v>
      </c>
      <c r="AJ24" s="651">
        <f t="shared" ref="AJ24:AP24" si="9">AJ25+AJ26</f>
        <v>1000</v>
      </c>
      <c r="AK24" s="651">
        <f t="shared" si="9"/>
        <v>1300</v>
      </c>
      <c r="AL24" s="651">
        <f t="shared" si="9"/>
        <v>1300</v>
      </c>
      <c r="AM24" s="777">
        <f t="shared" si="9"/>
        <v>1300</v>
      </c>
      <c r="AN24" s="1637">
        <f t="shared" si="9"/>
        <v>1300</v>
      </c>
      <c r="AO24" s="777">
        <f>AO25+AO26</f>
        <v>1283</v>
      </c>
      <c r="AP24" s="777">
        <f t="shared" si="9"/>
        <v>850</v>
      </c>
      <c r="AQ24" s="1586">
        <f>AP24/AO24-1</f>
        <v>-0.33749025720966486</v>
      </c>
      <c r="AR24" s="1003"/>
    </row>
    <row r="25" spans="1:47" ht="14.25" x14ac:dyDescent="0.2">
      <c r="A25" s="663" t="s">
        <v>214</v>
      </c>
      <c r="B25" s="1199">
        <v>86.444999999999993</v>
      </c>
      <c r="C25" s="1200">
        <v>137.096</v>
      </c>
      <c r="D25" s="1200">
        <v>316.30900000000003</v>
      </c>
      <c r="E25" s="1200">
        <v>192.62200000000001</v>
      </c>
      <c r="F25" s="671">
        <v>500</v>
      </c>
      <c r="G25" s="671">
        <v>415</v>
      </c>
      <c r="H25" s="1142">
        <v>420.68</v>
      </c>
      <c r="I25" s="671">
        <v>300</v>
      </c>
      <c r="J25" s="671">
        <v>350</v>
      </c>
      <c r="K25" s="671">
        <v>330</v>
      </c>
      <c r="L25" s="683">
        <v>300</v>
      </c>
      <c r="M25" s="1143">
        <v>296.76799999999997</v>
      </c>
      <c r="N25" s="671">
        <v>150</v>
      </c>
      <c r="O25" s="671">
        <v>100</v>
      </c>
      <c r="P25" s="671">
        <v>75</v>
      </c>
      <c r="Q25" s="671">
        <v>75</v>
      </c>
      <c r="R25" s="1194">
        <v>82.59</v>
      </c>
      <c r="S25" s="1252">
        <v>250</v>
      </c>
      <c r="T25" s="1252">
        <v>200</v>
      </c>
      <c r="U25" s="1252">
        <v>255</v>
      </c>
      <c r="V25" s="1252">
        <v>260</v>
      </c>
      <c r="W25" s="1252">
        <v>260</v>
      </c>
      <c r="X25" s="1194">
        <v>261.44400000000002</v>
      </c>
      <c r="Y25" s="1252">
        <v>300</v>
      </c>
      <c r="Z25" s="1252">
        <v>350</v>
      </c>
      <c r="AA25" s="1252">
        <v>240</v>
      </c>
      <c r="AB25" s="1194">
        <v>252.01599999999999</v>
      </c>
      <c r="AC25" s="671">
        <v>350</v>
      </c>
      <c r="AD25" s="671">
        <v>400</v>
      </c>
      <c r="AE25" s="1040">
        <v>400</v>
      </c>
      <c r="AF25" s="852">
        <v>350</v>
      </c>
      <c r="AG25" s="852">
        <v>300</v>
      </c>
      <c r="AH25" s="1026">
        <v>300</v>
      </c>
      <c r="AI25" s="1194">
        <v>302.74599999999998</v>
      </c>
      <c r="AJ25" s="1555">
        <v>150</v>
      </c>
      <c r="AK25" s="1194">
        <v>250</v>
      </c>
      <c r="AL25" s="1555">
        <v>300</v>
      </c>
      <c r="AM25" s="852">
        <v>255</v>
      </c>
      <c r="AN25" s="1638">
        <v>295</v>
      </c>
      <c r="AO25" s="1745">
        <v>297</v>
      </c>
      <c r="AP25" s="852">
        <v>250</v>
      </c>
      <c r="AQ25" s="1587">
        <f>AP25/AO25-1</f>
        <v>-0.15824915824915819</v>
      </c>
    </row>
    <row r="26" spans="1:47" ht="14.25" x14ac:dyDescent="0.2">
      <c r="A26" s="663" t="s">
        <v>3</v>
      </c>
      <c r="B26" s="1199">
        <v>20.297000000000001</v>
      </c>
      <c r="C26" s="1200">
        <v>149.505</v>
      </c>
      <c r="D26" s="1200">
        <v>604.26400000000001</v>
      </c>
      <c r="E26" s="1200">
        <v>359.01499999999999</v>
      </c>
      <c r="F26" s="671">
        <v>300</v>
      </c>
      <c r="G26" s="671">
        <v>525</v>
      </c>
      <c r="H26" s="1142">
        <v>521.74800000000005</v>
      </c>
      <c r="I26" s="671">
        <v>300</v>
      </c>
      <c r="J26" s="671">
        <v>100</v>
      </c>
      <c r="K26" s="671">
        <v>220</v>
      </c>
      <c r="L26" s="683">
        <v>365</v>
      </c>
      <c r="M26" s="1143">
        <v>394.78100000000001</v>
      </c>
      <c r="N26" s="671">
        <v>400</v>
      </c>
      <c r="O26" s="671">
        <v>550</v>
      </c>
      <c r="P26" s="671">
        <v>620</v>
      </c>
      <c r="Q26" s="671">
        <v>550</v>
      </c>
      <c r="R26" s="1194">
        <v>602.15800000000002</v>
      </c>
      <c r="S26" s="1252">
        <v>500</v>
      </c>
      <c r="T26" s="1252">
        <v>750</v>
      </c>
      <c r="U26" s="1252">
        <v>945</v>
      </c>
      <c r="V26" s="1252">
        <v>940</v>
      </c>
      <c r="W26" s="1252">
        <v>940</v>
      </c>
      <c r="X26" s="1194">
        <v>912.87099999999998</v>
      </c>
      <c r="Y26" s="1252">
        <v>400</v>
      </c>
      <c r="Z26" s="1252">
        <v>300</v>
      </c>
      <c r="AA26" s="1252">
        <v>420</v>
      </c>
      <c r="AB26" s="1194">
        <v>471.94600000000003</v>
      </c>
      <c r="AC26" s="671">
        <v>550</v>
      </c>
      <c r="AD26" s="671">
        <v>600</v>
      </c>
      <c r="AE26" s="1040">
        <v>700</v>
      </c>
      <c r="AF26" s="852">
        <v>950</v>
      </c>
      <c r="AG26" s="852">
        <v>930</v>
      </c>
      <c r="AH26" s="1026">
        <v>900</v>
      </c>
      <c r="AI26" s="1194">
        <v>887.74400000000003</v>
      </c>
      <c r="AJ26" s="1555">
        <v>850</v>
      </c>
      <c r="AK26" s="1556">
        <v>1050</v>
      </c>
      <c r="AL26" s="1557">
        <v>1000</v>
      </c>
      <c r="AM26" s="1501">
        <v>1045</v>
      </c>
      <c r="AN26" s="1639">
        <v>1005</v>
      </c>
      <c r="AO26" s="1746">
        <v>986</v>
      </c>
      <c r="AP26" s="1501">
        <v>600</v>
      </c>
      <c r="AQ26" s="1587">
        <f>AP26/AO26-1</f>
        <v>-0.39148073022312369</v>
      </c>
    </row>
    <row r="27" spans="1:47" ht="18" x14ac:dyDescent="0.25">
      <c r="A27" s="631" t="s">
        <v>231</v>
      </c>
      <c r="B27" s="723">
        <f t="shared" ref="B27:H27" si="10">B20+B21+B24+B23</f>
        <v>4580.5640000000003</v>
      </c>
      <c r="C27" s="724">
        <f t="shared" si="10"/>
        <v>5141.7603300000001</v>
      </c>
      <c r="D27" s="724">
        <f t="shared" si="10"/>
        <v>5779.8280599999998</v>
      </c>
      <c r="E27" s="724">
        <f t="shared" si="10"/>
        <v>6443.2529100000002</v>
      </c>
      <c r="F27" s="724">
        <f t="shared" si="10"/>
        <v>5600</v>
      </c>
      <c r="G27" s="724">
        <f t="shared" si="10"/>
        <v>5990.85</v>
      </c>
      <c r="H27" s="724">
        <f t="shared" si="10"/>
        <v>6158.7425700000003</v>
      </c>
      <c r="I27" s="724">
        <v>5872.4</v>
      </c>
      <c r="J27" s="724">
        <v>5911.9289999999992</v>
      </c>
      <c r="K27" s="724">
        <v>6098.5289999999995</v>
      </c>
      <c r="L27" s="757">
        <v>6275.77</v>
      </c>
      <c r="M27" s="723">
        <f>M20+M21+M24+M23</f>
        <v>6171.9212499999994</v>
      </c>
      <c r="N27" s="724">
        <v>6115</v>
      </c>
      <c r="O27" s="724">
        <v>6175</v>
      </c>
      <c r="P27" s="724">
        <v>6175</v>
      </c>
      <c r="Q27" s="724">
        <v>6159</v>
      </c>
      <c r="R27" s="724">
        <f>R20+R21+R24+R23</f>
        <v>6379.0470000000005</v>
      </c>
      <c r="S27" s="724">
        <v>5475</v>
      </c>
      <c r="T27" s="724">
        <v>5354.37</v>
      </c>
      <c r="U27" s="724">
        <v>5527</v>
      </c>
      <c r="V27" s="724">
        <v>5477</v>
      </c>
      <c r="W27" s="724">
        <v>5585</v>
      </c>
      <c r="X27" s="724">
        <f>X20+X21+X24+X23</f>
        <v>5739.8160000000007</v>
      </c>
      <c r="Y27" s="724">
        <f>Y20+Y21+Y24+Y23</f>
        <v>5893.64</v>
      </c>
      <c r="Z27" s="724">
        <f>Z20+Z21+Z24+Z23</f>
        <v>6086</v>
      </c>
      <c r="AA27" s="724">
        <f>AA20+AA21+AA24+AA23</f>
        <v>6122</v>
      </c>
      <c r="AB27" s="724">
        <f>AB20+AB21+AB24+AB23</f>
        <v>6406.5319999999992</v>
      </c>
      <c r="AC27" s="724">
        <v>5843.7003999999997</v>
      </c>
      <c r="AD27" s="724">
        <v>5870.6660000000002</v>
      </c>
      <c r="AE27" s="724">
        <v>6117</v>
      </c>
      <c r="AF27" s="757">
        <f>AF20+AF21+AF24</f>
        <v>6423</v>
      </c>
      <c r="AG27" s="757">
        <f>AG20+AG21+AG24</f>
        <v>6380</v>
      </c>
      <c r="AH27" s="757">
        <f>AH20+AH21+AH24+AH23</f>
        <v>6424</v>
      </c>
      <c r="AI27" s="757">
        <f>AI20+AI21+AI24+AI23</f>
        <v>6545.8089999999993</v>
      </c>
      <c r="AJ27" s="1563">
        <f>AJ20+AJ21+AJ24</f>
        <v>5902.6149999999998</v>
      </c>
      <c r="AK27" s="1563">
        <f t="shared" ref="AK27:AP27" si="11">AK20+AK21+AK24+AK23</f>
        <v>6015.8310000000001</v>
      </c>
      <c r="AL27" s="1563">
        <f t="shared" si="11"/>
        <v>5961.6180000000004</v>
      </c>
      <c r="AM27" s="757">
        <f t="shared" si="11"/>
        <v>6040.4310000000005</v>
      </c>
      <c r="AN27" s="1640">
        <f t="shared" si="11"/>
        <v>6096.9310000000005</v>
      </c>
      <c r="AO27" s="757">
        <f>AO20+AO21+AO24+AO23</f>
        <v>6071.8310000000001</v>
      </c>
      <c r="AP27" s="757">
        <f t="shared" si="11"/>
        <v>6245.9228680861206</v>
      </c>
      <c r="AQ27" s="1588">
        <f>AP27/AO27-1</f>
        <v>2.8672054292374183E-2</v>
      </c>
      <c r="AS27" s="1004"/>
    </row>
    <row r="28" spans="1:47" ht="15" customHeight="1" x14ac:dyDescent="0.2">
      <c r="A28" s="632"/>
      <c r="B28" s="645"/>
      <c r="C28" s="227"/>
      <c r="D28" s="228"/>
      <c r="E28" s="229"/>
      <c r="F28" s="230"/>
      <c r="G28" s="230"/>
      <c r="H28" s="230"/>
      <c r="I28" s="230"/>
      <c r="J28" s="230"/>
      <c r="K28" s="230"/>
      <c r="L28" s="373"/>
      <c r="M28" s="399"/>
      <c r="N28" s="230"/>
      <c r="O28" s="230"/>
      <c r="P28" s="230"/>
      <c r="Q28" s="230"/>
      <c r="R28" s="230"/>
      <c r="S28" s="230"/>
      <c r="T28" s="230"/>
      <c r="U28" s="230"/>
      <c r="V28" s="230"/>
      <c r="W28" s="230"/>
      <c r="X28" s="230"/>
      <c r="Y28" s="230"/>
      <c r="Z28" s="230"/>
      <c r="AA28" s="230"/>
      <c r="AB28" s="230"/>
      <c r="AC28" s="230"/>
      <c r="AD28" s="646"/>
      <c r="AE28" s="646"/>
      <c r="AF28" s="646"/>
      <c r="AG28" s="850"/>
      <c r="AH28" s="850"/>
      <c r="AI28" s="230"/>
      <c r="AJ28" s="850"/>
      <c r="AK28" s="650"/>
      <c r="AL28" s="685"/>
      <c r="AM28" s="373"/>
      <c r="AN28" s="1641"/>
      <c r="AO28" s="373"/>
      <c r="AP28" s="373"/>
      <c r="AQ28" s="1531"/>
    </row>
    <row r="29" spans="1:47" ht="18" x14ac:dyDescent="0.25">
      <c r="A29" s="623" t="s">
        <v>5</v>
      </c>
      <c r="B29" s="647"/>
      <c r="C29" s="648"/>
      <c r="D29" s="649"/>
      <c r="E29" s="229"/>
      <c r="F29" s="230"/>
      <c r="G29" s="230"/>
      <c r="H29" s="230"/>
      <c r="I29" s="230"/>
      <c r="J29" s="230"/>
      <c r="K29" s="230"/>
      <c r="L29" s="373"/>
      <c r="M29" s="399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30"/>
      <c r="AB29" s="230"/>
      <c r="AC29" s="230"/>
      <c r="AD29" s="230"/>
      <c r="AE29" s="230"/>
      <c r="AF29" s="230"/>
      <c r="AG29" s="373"/>
      <c r="AH29" s="373"/>
      <c r="AI29" s="230"/>
      <c r="AJ29" s="685"/>
      <c r="AK29" s="650"/>
      <c r="AL29" s="685"/>
      <c r="AM29" s="373"/>
      <c r="AN29" s="1641"/>
      <c r="AO29" s="373"/>
      <c r="AP29" s="373"/>
      <c r="AQ29" s="1531"/>
    </row>
    <row r="30" spans="1:47" s="4" customFormat="1" ht="18" x14ac:dyDescent="0.25">
      <c r="A30" s="605"/>
      <c r="B30" s="645"/>
      <c r="C30" s="227"/>
      <c r="D30" s="228"/>
      <c r="E30" s="227"/>
      <c r="F30" s="650"/>
      <c r="G30" s="650"/>
      <c r="H30" s="650"/>
      <c r="I30" s="650"/>
      <c r="J30" s="650"/>
      <c r="K30" s="650"/>
      <c r="L30" s="685"/>
      <c r="M30" s="691"/>
      <c r="N30" s="650"/>
      <c r="O30" s="650"/>
      <c r="P30" s="650"/>
      <c r="Q30" s="650"/>
      <c r="R30" s="650"/>
      <c r="S30" s="650"/>
      <c r="T30" s="650"/>
      <c r="U30" s="650"/>
      <c r="V30" s="650"/>
      <c r="W30" s="650"/>
      <c r="X30" s="650"/>
      <c r="Y30" s="650"/>
      <c r="Z30" s="650"/>
      <c r="AA30" s="650"/>
      <c r="AB30" s="650"/>
      <c r="AC30" s="650"/>
      <c r="AD30" s="650"/>
      <c r="AE30" s="650"/>
      <c r="AF30" s="650"/>
      <c r="AG30" s="685"/>
      <c r="AH30" s="685"/>
      <c r="AI30" s="650"/>
      <c r="AJ30" s="685"/>
      <c r="AK30" s="650"/>
      <c r="AL30" s="685"/>
      <c r="AM30" s="685"/>
      <c r="AN30" s="1642"/>
      <c r="AO30" s="685"/>
      <c r="AP30" s="685"/>
      <c r="AQ30" s="1531"/>
      <c r="AS30" s="1748"/>
      <c r="AU30" s="1748"/>
    </row>
    <row r="31" spans="1:47" ht="15" x14ac:dyDescent="0.25">
      <c r="A31" s="627" t="s">
        <v>73</v>
      </c>
      <c r="B31" s="517">
        <f t="shared" ref="B31:AI31" si="12">B32+B33+B34+B35</f>
        <v>2489.04567</v>
      </c>
      <c r="C31" s="651">
        <f t="shared" si="12"/>
        <v>2942.3112699999997</v>
      </c>
      <c r="D31" s="651">
        <f t="shared" si="12"/>
        <v>3910.1311499999997</v>
      </c>
      <c r="E31" s="651">
        <f t="shared" si="12"/>
        <v>4464.4723400000003</v>
      </c>
      <c r="F31" s="651">
        <f t="shared" si="12"/>
        <v>4780.3</v>
      </c>
      <c r="G31" s="651">
        <f t="shared" si="12"/>
        <v>4662.1985000000004</v>
      </c>
      <c r="H31" s="651">
        <f t="shared" si="12"/>
        <v>4689.1463200000007</v>
      </c>
      <c r="I31" s="651">
        <f t="shared" si="12"/>
        <v>4325.3440000000001</v>
      </c>
      <c r="J31" s="651">
        <f t="shared" si="12"/>
        <v>4156.7640000000001</v>
      </c>
      <c r="K31" s="651">
        <f t="shared" si="12"/>
        <v>4342.63</v>
      </c>
      <c r="L31" s="686">
        <f t="shared" si="12"/>
        <v>4333.25</v>
      </c>
      <c r="M31" s="517">
        <f t="shared" si="12"/>
        <v>4353.6502499999997</v>
      </c>
      <c r="N31" s="651">
        <f t="shared" si="12"/>
        <v>4928.5</v>
      </c>
      <c r="O31" s="651">
        <f t="shared" si="12"/>
        <v>4823.1000000000004</v>
      </c>
      <c r="P31" s="651">
        <f t="shared" si="12"/>
        <v>4732.6499999999996</v>
      </c>
      <c r="Q31" s="651">
        <f t="shared" si="12"/>
        <v>4708.1899999999996</v>
      </c>
      <c r="R31" s="651">
        <f t="shared" si="12"/>
        <v>4792.6804099999999</v>
      </c>
      <c r="S31" s="651">
        <f t="shared" si="12"/>
        <v>4576.55</v>
      </c>
      <c r="T31" s="651">
        <f t="shared" si="12"/>
        <v>4342.55</v>
      </c>
      <c r="U31" s="651">
        <f t="shared" si="12"/>
        <v>4401.78</v>
      </c>
      <c r="V31" s="651">
        <f t="shared" si="12"/>
        <v>4276.28</v>
      </c>
      <c r="W31" s="651">
        <f t="shared" si="12"/>
        <v>4412.3599999999997</v>
      </c>
      <c r="X31" s="651">
        <f t="shared" si="12"/>
        <v>4436.7074000000002</v>
      </c>
      <c r="Y31" s="651">
        <f t="shared" si="12"/>
        <v>4620.8599999999997</v>
      </c>
      <c r="Z31" s="651">
        <f t="shared" si="12"/>
        <v>4673.46</v>
      </c>
      <c r="AA31" s="651">
        <f t="shared" si="12"/>
        <v>4738.72</v>
      </c>
      <c r="AB31" s="651">
        <f t="shared" si="12"/>
        <v>4775.6158700000005</v>
      </c>
      <c r="AC31" s="651">
        <f t="shared" si="12"/>
        <v>4623.7254039999998</v>
      </c>
      <c r="AD31" s="651">
        <f t="shared" si="12"/>
        <v>4723.5266600000004</v>
      </c>
      <c r="AE31" s="651">
        <f t="shared" si="12"/>
        <v>4924.4799999999996</v>
      </c>
      <c r="AF31" s="686">
        <f t="shared" si="12"/>
        <v>4970.54</v>
      </c>
      <c r="AG31" s="686">
        <f t="shared" si="12"/>
        <v>4945.8100000000004</v>
      </c>
      <c r="AH31" s="686">
        <f t="shared" si="12"/>
        <v>4916.55</v>
      </c>
      <c r="AI31" s="651">
        <f t="shared" si="12"/>
        <v>4898.4475899999998</v>
      </c>
      <c r="AJ31" s="651">
        <f t="shared" ref="AJ31:AN31" si="13">AJ32+AJ33+AJ34+AJ35</f>
        <v>4608.0616499999996</v>
      </c>
      <c r="AK31" s="651">
        <f t="shared" si="13"/>
        <v>4705.79</v>
      </c>
      <c r="AL31" s="651">
        <f t="shared" si="13"/>
        <v>4605.2478700000001</v>
      </c>
      <c r="AM31" s="686">
        <f t="shared" si="13"/>
        <v>4581.0360000000001</v>
      </c>
      <c r="AN31" s="1643">
        <f t="shared" si="13"/>
        <v>4556.6009999999997</v>
      </c>
      <c r="AO31" s="686">
        <f>AO32+AO33+AO34+AO35</f>
        <v>4557.43</v>
      </c>
      <c r="AP31" s="686">
        <f>AP32+AP33+AP34+AP35</f>
        <v>4452.5712286808612</v>
      </c>
      <c r="AQ31" s="1586">
        <f>AP31/AO31-1</f>
        <v>-2.3008311991437935E-2</v>
      </c>
      <c r="AT31" s="1004"/>
    </row>
    <row r="32" spans="1:47" ht="14.25" x14ac:dyDescent="0.2">
      <c r="A32" s="624" t="s">
        <v>217</v>
      </c>
      <c r="B32" s="1141">
        <v>2336.6709999999998</v>
      </c>
      <c r="C32" s="1140">
        <v>2784.3359999999998</v>
      </c>
      <c r="D32" s="1140">
        <v>3721.0169999999998</v>
      </c>
      <c r="E32" s="1140">
        <v>4220.8879999999999</v>
      </c>
      <c r="F32" s="432">
        <v>4600</v>
      </c>
      <c r="G32" s="432">
        <v>4480</v>
      </c>
      <c r="H32" s="1140">
        <v>4502.6260000000002</v>
      </c>
      <c r="I32" s="432">
        <v>4150</v>
      </c>
      <c r="J32" s="432">
        <v>4000</v>
      </c>
      <c r="K32" s="432">
        <v>4205</v>
      </c>
      <c r="L32" s="687">
        <v>4215</v>
      </c>
      <c r="M32" s="1141">
        <v>4239.6819999999998</v>
      </c>
      <c r="N32" s="432">
        <v>4800</v>
      </c>
      <c r="O32" s="432">
        <v>4700</v>
      </c>
      <c r="P32" s="432">
        <v>4620</v>
      </c>
      <c r="Q32" s="432">
        <v>4600</v>
      </c>
      <c r="R32" s="1195">
        <v>4687</v>
      </c>
      <c r="S32" s="1195">
        <v>4480</v>
      </c>
      <c r="T32" s="1195">
        <v>4250</v>
      </c>
      <c r="U32" s="1195">
        <v>4300</v>
      </c>
      <c r="V32" s="1195">
        <v>4175</v>
      </c>
      <c r="W32" s="1195">
        <v>4300</v>
      </c>
      <c r="X32" s="1195">
        <v>4325</v>
      </c>
      <c r="Y32" s="1195">
        <v>4500</v>
      </c>
      <c r="Z32" s="1195">
        <v>4550</v>
      </c>
      <c r="AA32" s="1195">
        <v>4600</v>
      </c>
      <c r="AB32" s="1195">
        <v>4640</v>
      </c>
      <c r="AC32" s="432">
        <v>4500</v>
      </c>
      <c r="AD32" s="432">
        <v>4600</v>
      </c>
      <c r="AE32" s="1041">
        <v>4800</v>
      </c>
      <c r="AF32" s="687">
        <v>4860</v>
      </c>
      <c r="AG32" s="687">
        <v>4835</v>
      </c>
      <c r="AH32" s="1068">
        <v>4800</v>
      </c>
      <c r="AI32" s="432">
        <v>4780</v>
      </c>
      <c r="AJ32" s="1255">
        <v>4500</v>
      </c>
      <c r="AK32" s="1195">
        <v>4600</v>
      </c>
      <c r="AL32" s="1255">
        <v>4500</v>
      </c>
      <c r="AM32" s="687">
        <v>4475</v>
      </c>
      <c r="AN32" s="1632">
        <v>4450</v>
      </c>
      <c r="AO32" s="687">
        <v>4450</v>
      </c>
      <c r="AP32" s="687">
        <v>4340</v>
      </c>
      <c r="AQ32" s="1587">
        <f>AP32/AO32-1</f>
        <v>-2.4719101123595544E-2</v>
      </c>
    </row>
    <row r="33" spans="1:47" ht="14.25" x14ac:dyDescent="0.2">
      <c r="A33" s="624" t="s">
        <v>6</v>
      </c>
      <c r="B33" s="1141">
        <v>106.342</v>
      </c>
      <c r="C33" s="1140">
        <v>109.045</v>
      </c>
      <c r="D33" s="1140">
        <v>120.236</v>
      </c>
      <c r="E33" s="1140">
        <v>161.965</v>
      </c>
      <c r="F33" s="432">
        <v>110</v>
      </c>
      <c r="G33" s="432">
        <v>110</v>
      </c>
      <c r="H33" s="1140">
        <v>114.38500000000001</v>
      </c>
      <c r="I33" s="432">
        <v>100</v>
      </c>
      <c r="J33" s="432">
        <v>80</v>
      </c>
      <c r="K33" s="432">
        <v>60</v>
      </c>
      <c r="L33" s="687">
        <v>55</v>
      </c>
      <c r="M33" s="1141">
        <v>51.09</v>
      </c>
      <c r="N33" s="432">
        <v>65</v>
      </c>
      <c r="O33" s="432">
        <v>60</v>
      </c>
      <c r="P33" s="432">
        <v>50</v>
      </c>
      <c r="Q33" s="432">
        <v>45</v>
      </c>
      <c r="R33" s="1195">
        <v>42.11</v>
      </c>
      <c r="S33" s="1195">
        <v>40</v>
      </c>
      <c r="T33" s="1195">
        <v>40</v>
      </c>
      <c r="U33" s="1195">
        <v>50</v>
      </c>
      <c r="V33" s="1195">
        <v>50</v>
      </c>
      <c r="W33" s="1195">
        <v>60</v>
      </c>
      <c r="X33" s="1195">
        <v>58.569000000000003</v>
      </c>
      <c r="Y33" s="1195">
        <v>60</v>
      </c>
      <c r="Z33" s="1195">
        <v>60</v>
      </c>
      <c r="AA33" s="1195">
        <v>75</v>
      </c>
      <c r="AB33" s="1195">
        <v>71.474000000000004</v>
      </c>
      <c r="AC33" s="432">
        <v>65</v>
      </c>
      <c r="AD33" s="432">
        <v>65</v>
      </c>
      <c r="AE33" s="1041">
        <v>65</v>
      </c>
      <c r="AF33" s="687">
        <v>50</v>
      </c>
      <c r="AG33" s="687">
        <v>50</v>
      </c>
      <c r="AH33" s="1068">
        <v>55</v>
      </c>
      <c r="AI33" s="432">
        <v>56.387999999999998</v>
      </c>
      <c r="AJ33" s="1255">
        <v>50</v>
      </c>
      <c r="AK33" s="1195">
        <v>50</v>
      </c>
      <c r="AL33" s="1255">
        <v>50</v>
      </c>
      <c r="AM33" s="687">
        <v>50</v>
      </c>
      <c r="AN33" s="1632">
        <v>50</v>
      </c>
      <c r="AO33" s="1740">
        <v>51</v>
      </c>
      <c r="AP33" s="687">
        <v>50</v>
      </c>
      <c r="AQ33" s="1587">
        <f>AP33/AO33-1</f>
        <v>-1.9607843137254943E-2</v>
      </c>
    </row>
    <row r="34" spans="1:47" ht="14.25" x14ac:dyDescent="0.2">
      <c r="A34" s="624" t="s">
        <v>7</v>
      </c>
      <c r="B34" s="509">
        <v>6</v>
      </c>
      <c r="C34" s="432">
        <v>4</v>
      </c>
      <c r="D34" s="432">
        <v>24</v>
      </c>
      <c r="E34" s="432">
        <v>27</v>
      </c>
      <c r="F34" s="432">
        <v>25</v>
      </c>
      <c r="G34" s="432">
        <v>25</v>
      </c>
      <c r="H34" s="432">
        <v>25</v>
      </c>
      <c r="I34" s="432">
        <v>25</v>
      </c>
      <c r="J34" s="432">
        <v>25</v>
      </c>
      <c r="K34" s="432">
        <v>25</v>
      </c>
      <c r="L34" s="687">
        <v>10</v>
      </c>
      <c r="M34" s="509">
        <v>10</v>
      </c>
      <c r="N34" s="432">
        <v>10</v>
      </c>
      <c r="O34" s="432">
        <v>10</v>
      </c>
      <c r="P34" s="432">
        <v>10</v>
      </c>
      <c r="Q34" s="432">
        <v>10</v>
      </c>
      <c r="R34" s="432">
        <v>10</v>
      </c>
      <c r="S34" s="432">
        <v>10</v>
      </c>
      <c r="T34" s="432">
        <v>10</v>
      </c>
      <c r="U34" s="432">
        <v>10</v>
      </c>
      <c r="V34" s="432">
        <v>10</v>
      </c>
      <c r="W34" s="432">
        <v>10</v>
      </c>
      <c r="X34" s="432">
        <v>10</v>
      </c>
      <c r="Y34" s="432">
        <v>10</v>
      </c>
      <c r="Z34" s="432">
        <v>10</v>
      </c>
      <c r="AA34" s="432">
        <v>10</v>
      </c>
      <c r="AB34" s="432">
        <v>10</v>
      </c>
      <c r="AC34" s="432">
        <v>10</v>
      </c>
      <c r="AD34" s="432">
        <v>10</v>
      </c>
      <c r="AE34" s="1041">
        <v>10</v>
      </c>
      <c r="AF34" s="687">
        <v>10</v>
      </c>
      <c r="AG34" s="687">
        <v>10</v>
      </c>
      <c r="AH34" s="1068">
        <v>10</v>
      </c>
      <c r="AI34" s="432">
        <v>10</v>
      </c>
      <c r="AJ34" s="1255">
        <v>10</v>
      </c>
      <c r="AK34" s="1195">
        <v>10</v>
      </c>
      <c r="AL34" s="1255">
        <v>10</v>
      </c>
      <c r="AM34" s="687">
        <v>10</v>
      </c>
      <c r="AN34" s="1632">
        <v>10</v>
      </c>
      <c r="AO34" s="687">
        <v>10</v>
      </c>
      <c r="AP34" s="687">
        <v>10</v>
      </c>
      <c r="AQ34" s="1587">
        <f>AP34/AO34-1</f>
        <v>0</v>
      </c>
    </row>
    <row r="35" spans="1:47" ht="14.25" x14ac:dyDescent="0.2">
      <c r="A35" s="624" t="s">
        <v>8</v>
      </c>
      <c r="B35" s="509">
        <f t="shared" ref="B35:AI35" si="14">B21*0.01</f>
        <v>40.032669999999996</v>
      </c>
      <c r="C35" s="432">
        <f t="shared" si="14"/>
        <v>44.93027</v>
      </c>
      <c r="D35" s="432">
        <f t="shared" si="14"/>
        <v>44.878149999999998</v>
      </c>
      <c r="E35" s="432">
        <f t="shared" si="14"/>
        <v>54.619340000000001</v>
      </c>
      <c r="F35" s="432">
        <f t="shared" si="14"/>
        <v>45.300000000000004</v>
      </c>
      <c r="G35" s="432">
        <f t="shared" si="14"/>
        <v>47.198500000000003</v>
      </c>
      <c r="H35" s="432">
        <f t="shared" si="14"/>
        <v>47.13532</v>
      </c>
      <c r="I35" s="432">
        <f t="shared" si="14"/>
        <v>50.343999999999994</v>
      </c>
      <c r="J35" s="432">
        <f t="shared" si="14"/>
        <v>51.763999999999996</v>
      </c>
      <c r="K35" s="432">
        <f t="shared" si="14"/>
        <v>52.63</v>
      </c>
      <c r="L35" s="687">
        <f t="shared" si="14"/>
        <v>53.25</v>
      </c>
      <c r="M35" s="509">
        <f t="shared" si="14"/>
        <v>52.878250000000001</v>
      </c>
      <c r="N35" s="432">
        <f t="shared" si="14"/>
        <v>53.5</v>
      </c>
      <c r="O35" s="432">
        <f t="shared" si="14"/>
        <v>53.1</v>
      </c>
      <c r="P35" s="432">
        <f t="shared" si="14"/>
        <v>52.65</v>
      </c>
      <c r="Q35" s="432">
        <f t="shared" si="14"/>
        <v>53.19</v>
      </c>
      <c r="R35" s="432">
        <f t="shared" si="14"/>
        <v>53.570410000000003</v>
      </c>
      <c r="S35" s="432">
        <f t="shared" si="14"/>
        <v>46.550000000000004</v>
      </c>
      <c r="T35" s="432">
        <f t="shared" si="14"/>
        <v>42.550000000000004</v>
      </c>
      <c r="U35" s="432">
        <f t="shared" si="14"/>
        <v>41.78</v>
      </c>
      <c r="V35" s="432">
        <f t="shared" si="14"/>
        <v>41.28</v>
      </c>
      <c r="W35" s="432">
        <f t="shared" si="14"/>
        <v>42.36</v>
      </c>
      <c r="X35" s="432">
        <f t="shared" si="14"/>
        <v>43.138400000000004</v>
      </c>
      <c r="Y35" s="432">
        <f t="shared" si="14"/>
        <v>50.86</v>
      </c>
      <c r="Z35" s="432">
        <f t="shared" si="14"/>
        <v>53.46</v>
      </c>
      <c r="AA35" s="432">
        <f t="shared" si="14"/>
        <v>53.72</v>
      </c>
      <c r="AB35" s="432">
        <f t="shared" si="14"/>
        <v>54.141869999999997</v>
      </c>
      <c r="AC35" s="432">
        <f t="shared" si="14"/>
        <v>48.725403999999997</v>
      </c>
      <c r="AD35" s="432">
        <f t="shared" si="14"/>
        <v>48.52666</v>
      </c>
      <c r="AE35" s="1041">
        <f t="shared" si="14"/>
        <v>49.480000000000004</v>
      </c>
      <c r="AF35" s="687">
        <f t="shared" si="14"/>
        <v>50.54</v>
      </c>
      <c r="AG35" s="687">
        <f t="shared" si="14"/>
        <v>50.81</v>
      </c>
      <c r="AH35" s="1068">
        <f t="shared" si="14"/>
        <v>51.550000000000004</v>
      </c>
      <c r="AI35" s="432">
        <f t="shared" si="14"/>
        <v>52.05959</v>
      </c>
      <c r="AJ35" s="1255">
        <f t="shared" ref="AJ35:AP35" si="15">AJ21*0.01</f>
        <v>48.06165</v>
      </c>
      <c r="AK35" s="1195">
        <f t="shared" si="15"/>
        <v>45.79</v>
      </c>
      <c r="AL35" s="1255">
        <f t="shared" si="15"/>
        <v>45.247870000000006</v>
      </c>
      <c r="AM35" s="687">
        <f t="shared" si="15"/>
        <v>46.036000000000001</v>
      </c>
      <c r="AN35" s="1632">
        <f t="shared" si="15"/>
        <v>46.601000000000006</v>
      </c>
      <c r="AO35" s="687">
        <f>AO21*0.01</f>
        <v>46.43</v>
      </c>
      <c r="AP35" s="687">
        <f t="shared" si="15"/>
        <v>52.571228680861203</v>
      </c>
      <c r="AQ35" s="1587">
        <f>AP35/AO35-1</f>
        <v>0.13226854794015086</v>
      </c>
    </row>
    <row r="36" spans="1:47" ht="14.25" x14ac:dyDescent="0.2">
      <c r="A36" s="624"/>
      <c r="B36" s="509"/>
      <c r="C36" s="432"/>
      <c r="D36" s="432"/>
      <c r="E36" s="432"/>
      <c r="F36" s="432"/>
      <c r="G36" s="432"/>
      <c r="H36" s="432"/>
      <c r="I36" s="432"/>
      <c r="J36" s="432"/>
      <c r="K36" s="432"/>
      <c r="L36" s="687"/>
      <c r="M36" s="509"/>
      <c r="N36" s="432"/>
      <c r="O36" s="432"/>
      <c r="P36" s="432"/>
      <c r="Q36" s="432"/>
      <c r="R36" s="432"/>
      <c r="S36" s="432"/>
      <c r="T36" s="432"/>
      <c r="U36" s="432"/>
      <c r="V36" s="432"/>
      <c r="W36" s="432"/>
      <c r="X36" s="432"/>
      <c r="Y36" s="432"/>
      <c r="Z36" s="432"/>
      <c r="AA36" s="432"/>
      <c r="AB36" s="432"/>
      <c r="AC36" s="432"/>
      <c r="AD36" s="432"/>
      <c r="AE36" s="1041"/>
      <c r="AF36" s="687"/>
      <c r="AG36" s="687"/>
      <c r="AH36" s="1068"/>
      <c r="AI36" s="432"/>
      <c r="AJ36" s="1255"/>
      <c r="AK36" s="1195"/>
      <c r="AL36" s="1255"/>
      <c r="AM36" s="687"/>
      <c r="AN36" s="1632"/>
      <c r="AO36" s="687"/>
      <c r="AP36" s="687"/>
      <c r="AQ36" s="1531"/>
    </row>
    <row r="37" spans="1:47" ht="15" x14ac:dyDescent="0.25">
      <c r="A37" s="627" t="s">
        <v>9</v>
      </c>
      <c r="B37" s="517">
        <f t="shared" ref="B37:AI37" si="16">B38+B39</f>
        <v>1833.386</v>
      </c>
      <c r="C37" s="651">
        <f t="shared" si="16"/>
        <v>2009.009</v>
      </c>
      <c r="D37" s="651">
        <f t="shared" si="16"/>
        <v>1661.0150000000001</v>
      </c>
      <c r="E37" s="651">
        <f t="shared" si="16"/>
        <v>1648.998</v>
      </c>
      <c r="F37" s="651">
        <f t="shared" si="16"/>
        <v>610</v>
      </c>
      <c r="G37" s="651">
        <f t="shared" si="16"/>
        <v>1205</v>
      </c>
      <c r="H37" s="651">
        <f t="shared" si="16"/>
        <v>1209.049</v>
      </c>
      <c r="I37" s="651">
        <f t="shared" si="16"/>
        <v>1420</v>
      </c>
      <c r="J37" s="651">
        <f t="shared" si="16"/>
        <v>1550</v>
      </c>
      <c r="K37" s="651">
        <f t="shared" si="16"/>
        <v>1540</v>
      </c>
      <c r="L37" s="686">
        <f t="shared" si="16"/>
        <v>1735</v>
      </c>
      <c r="M37" s="517">
        <f t="shared" si="16"/>
        <v>1709.0130000000001</v>
      </c>
      <c r="N37" s="651">
        <f t="shared" si="16"/>
        <v>1000</v>
      </c>
      <c r="O37" s="651">
        <f t="shared" si="16"/>
        <v>1145</v>
      </c>
      <c r="P37" s="651">
        <f t="shared" si="16"/>
        <v>1285</v>
      </c>
      <c r="Q37" s="651">
        <f t="shared" si="16"/>
        <v>1381</v>
      </c>
      <c r="R37" s="651">
        <f t="shared" si="16"/>
        <v>1464.127</v>
      </c>
      <c r="S37" s="651">
        <f t="shared" si="16"/>
        <v>760</v>
      </c>
      <c r="T37" s="651">
        <f t="shared" si="16"/>
        <v>870</v>
      </c>
      <c r="U37" s="651">
        <f t="shared" si="16"/>
        <v>980</v>
      </c>
      <c r="V37" s="651">
        <f t="shared" si="16"/>
        <v>1070</v>
      </c>
      <c r="W37" s="651">
        <f t="shared" si="16"/>
        <v>1065</v>
      </c>
      <c r="X37" s="651">
        <f t="shared" si="16"/>
        <v>1239.616</v>
      </c>
      <c r="Y37" s="651">
        <f t="shared" si="16"/>
        <v>1010</v>
      </c>
      <c r="Z37" s="651">
        <f t="shared" si="16"/>
        <v>1155</v>
      </c>
      <c r="AA37" s="651">
        <f t="shared" si="16"/>
        <v>1275</v>
      </c>
      <c r="AB37" s="651">
        <f t="shared" si="16"/>
        <v>1567.6289999999999</v>
      </c>
      <c r="AC37" s="651">
        <f t="shared" si="16"/>
        <v>1145</v>
      </c>
      <c r="AD37" s="651">
        <f t="shared" si="16"/>
        <v>1110</v>
      </c>
      <c r="AE37" s="651">
        <f t="shared" si="16"/>
        <v>1060</v>
      </c>
      <c r="AF37" s="686">
        <f t="shared" si="16"/>
        <v>1360</v>
      </c>
      <c r="AG37" s="686">
        <f t="shared" si="16"/>
        <v>1384</v>
      </c>
      <c r="AH37" s="686">
        <f t="shared" si="16"/>
        <v>1411</v>
      </c>
      <c r="AI37" s="651">
        <f t="shared" si="16"/>
        <v>1510.9870000000001</v>
      </c>
      <c r="AJ37" s="651">
        <f t="shared" ref="AJ37:AN37" si="17">AJ38+AJ39</f>
        <v>1200</v>
      </c>
      <c r="AK37" s="651">
        <f t="shared" si="17"/>
        <v>1270</v>
      </c>
      <c r="AL37" s="651">
        <f t="shared" si="17"/>
        <v>1320</v>
      </c>
      <c r="AM37" s="686">
        <f t="shared" si="17"/>
        <v>1320</v>
      </c>
      <c r="AN37" s="1643">
        <f t="shared" si="17"/>
        <v>1342</v>
      </c>
      <c r="AO37" s="686">
        <f>AO38+AO39</f>
        <v>1376</v>
      </c>
      <c r="AP37" s="686">
        <f>AP38+AP39</f>
        <v>1550</v>
      </c>
      <c r="AQ37" s="1586">
        <f>AP37/AO37-1</f>
        <v>0.12645348837209291</v>
      </c>
      <c r="AT37" s="1004"/>
    </row>
    <row r="38" spans="1:47" ht="14.25" x14ac:dyDescent="0.2">
      <c r="A38" s="633" t="s">
        <v>10</v>
      </c>
      <c r="B38" s="1141">
        <v>1800.8989999999999</v>
      </c>
      <c r="C38" s="1140">
        <v>1956.8430000000001</v>
      </c>
      <c r="D38" s="1140">
        <v>1650.317</v>
      </c>
      <c r="E38" s="1140">
        <v>1637.98</v>
      </c>
      <c r="F38" s="432">
        <v>600</v>
      </c>
      <c r="G38" s="432">
        <v>1200</v>
      </c>
      <c r="H38" s="1140">
        <v>1203.386</v>
      </c>
      <c r="I38" s="1140">
        <v>1415</v>
      </c>
      <c r="J38" s="1140">
        <v>1540</v>
      </c>
      <c r="K38" s="1140">
        <v>1520</v>
      </c>
      <c r="L38" s="764">
        <v>1720</v>
      </c>
      <c r="M38" s="1141">
        <v>1696.3620000000001</v>
      </c>
      <c r="N38" s="1140">
        <v>990</v>
      </c>
      <c r="O38" s="1140">
        <v>1140</v>
      </c>
      <c r="P38" s="1140">
        <v>1280</v>
      </c>
      <c r="Q38" s="1140">
        <v>1375</v>
      </c>
      <c r="R38" s="1195">
        <v>1458.9659999999999</v>
      </c>
      <c r="S38" s="1195">
        <v>720</v>
      </c>
      <c r="T38" s="1195">
        <v>770</v>
      </c>
      <c r="U38" s="1195">
        <v>880</v>
      </c>
      <c r="V38" s="1195">
        <v>975</v>
      </c>
      <c r="W38" s="1195">
        <v>970</v>
      </c>
      <c r="X38" s="1195">
        <v>1144.027</v>
      </c>
      <c r="Y38" s="1195">
        <v>1000</v>
      </c>
      <c r="Z38" s="1195">
        <v>1150</v>
      </c>
      <c r="AA38" s="1195">
        <v>1250</v>
      </c>
      <c r="AB38" s="1195">
        <v>1531.05</v>
      </c>
      <c r="AC38" s="1140">
        <v>1130</v>
      </c>
      <c r="AD38" s="1140">
        <v>1100</v>
      </c>
      <c r="AE38" s="1140">
        <v>1050</v>
      </c>
      <c r="AF38" s="764">
        <v>1350</v>
      </c>
      <c r="AG38" s="764">
        <v>1370</v>
      </c>
      <c r="AH38" s="764">
        <v>1390</v>
      </c>
      <c r="AI38" s="1195">
        <v>1489.9770000000001</v>
      </c>
      <c r="AJ38" s="1255">
        <v>1180</v>
      </c>
      <c r="AK38" s="1195">
        <v>1250</v>
      </c>
      <c r="AL38" s="1255">
        <v>1310</v>
      </c>
      <c r="AM38" s="687">
        <v>1310</v>
      </c>
      <c r="AN38" s="1632">
        <v>1340</v>
      </c>
      <c r="AO38" s="1740">
        <v>1375</v>
      </c>
      <c r="AP38" s="687">
        <v>1550</v>
      </c>
      <c r="AQ38" s="1587">
        <f>AP38/AO38-1</f>
        <v>0.1272727272727272</v>
      </c>
    </row>
    <row r="39" spans="1:47" ht="14.25" x14ac:dyDescent="0.2">
      <c r="A39" s="633" t="s">
        <v>3</v>
      </c>
      <c r="B39" s="1141">
        <v>32.487000000000002</v>
      </c>
      <c r="C39" s="1140">
        <v>52.165999999999997</v>
      </c>
      <c r="D39" s="1140">
        <v>10.698</v>
      </c>
      <c r="E39" s="1140">
        <v>11.018000000000001</v>
      </c>
      <c r="F39" s="432">
        <v>10</v>
      </c>
      <c r="G39" s="432">
        <v>5</v>
      </c>
      <c r="H39" s="1140">
        <v>5.6630000000000003</v>
      </c>
      <c r="I39" s="1140">
        <v>5</v>
      </c>
      <c r="J39" s="1140">
        <v>10</v>
      </c>
      <c r="K39" s="1140">
        <v>20</v>
      </c>
      <c r="L39" s="764">
        <v>15</v>
      </c>
      <c r="M39" s="1141">
        <v>12.651</v>
      </c>
      <c r="N39" s="1140">
        <v>10</v>
      </c>
      <c r="O39" s="1140">
        <v>5</v>
      </c>
      <c r="P39" s="1140">
        <v>5</v>
      </c>
      <c r="Q39" s="1140">
        <v>6</v>
      </c>
      <c r="R39" s="1195">
        <v>5.1609999999999996</v>
      </c>
      <c r="S39" s="1195">
        <v>40</v>
      </c>
      <c r="T39" s="1195">
        <v>100</v>
      </c>
      <c r="U39" s="1195">
        <v>100</v>
      </c>
      <c r="V39" s="1195">
        <v>95</v>
      </c>
      <c r="W39" s="1195">
        <v>95</v>
      </c>
      <c r="X39" s="1195">
        <v>95.588999999999999</v>
      </c>
      <c r="Y39" s="1195">
        <v>10</v>
      </c>
      <c r="Z39" s="1195">
        <v>5</v>
      </c>
      <c r="AA39" s="1195">
        <v>25</v>
      </c>
      <c r="AB39" s="1195">
        <v>36.579000000000001</v>
      </c>
      <c r="AC39" s="1140">
        <v>15</v>
      </c>
      <c r="AD39" s="1140">
        <v>10</v>
      </c>
      <c r="AE39" s="1140">
        <v>10</v>
      </c>
      <c r="AF39" s="764">
        <v>10</v>
      </c>
      <c r="AG39" s="764">
        <v>14</v>
      </c>
      <c r="AH39" s="764">
        <v>21</v>
      </c>
      <c r="AI39" s="1195">
        <v>21.01</v>
      </c>
      <c r="AJ39" s="1255">
        <v>20</v>
      </c>
      <c r="AK39" s="1195">
        <v>20</v>
      </c>
      <c r="AL39" s="1255">
        <v>10</v>
      </c>
      <c r="AM39" s="687">
        <v>10</v>
      </c>
      <c r="AN39" s="1632">
        <v>2</v>
      </c>
      <c r="AO39" s="1740">
        <v>1</v>
      </c>
      <c r="AP39" s="687">
        <v>0</v>
      </c>
      <c r="AQ39" s="1587">
        <f>AP39/AO39-1</f>
        <v>-1</v>
      </c>
    </row>
    <row r="40" spans="1:47" ht="18" x14ac:dyDescent="0.25">
      <c r="A40" s="631" t="s">
        <v>74</v>
      </c>
      <c r="B40" s="725">
        <f t="shared" ref="B40:AB40" si="18">B31+B37</f>
        <v>4322.4316699999999</v>
      </c>
      <c r="C40" s="726">
        <f t="shared" si="18"/>
        <v>4951.3202700000002</v>
      </c>
      <c r="D40" s="726">
        <f t="shared" si="18"/>
        <v>5571.1461499999996</v>
      </c>
      <c r="E40" s="726">
        <f t="shared" si="18"/>
        <v>6113.4703399999999</v>
      </c>
      <c r="F40" s="726">
        <f t="shared" si="18"/>
        <v>5390.3</v>
      </c>
      <c r="G40" s="726">
        <f t="shared" si="18"/>
        <v>5867.1985000000004</v>
      </c>
      <c r="H40" s="726">
        <f t="shared" si="18"/>
        <v>5898.1953200000007</v>
      </c>
      <c r="I40" s="726">
        <f t="shared" si="18"/>
        <v>5745.3440000000001</v>
      </c>
      <c r="J40" s="726">
        <f t="shared" si="18"/>
        <v>5706.7640000000001</v>
      </c>
      <c r="K40" s="726">
        <f t="shared" si="18"/>
        <v>5882.63</v>
      </c>
      <c r="L40" s="758">
        <f t="shared" si="18"/>
        <v>6068.25</v>
      </c>
      <c r="M40" s="725">
        <f t="shared" si="18"/>
        <v>6062.6632499999996</v>
      </c>
      <c r="N40" s="726">
        <f t="shared" si="18"/>
        <v>5928.5</v>
      </c>
      <c r="O40" s="726">
        <f t="shared" si="18"/>
        <v>5968.1</v>
      </c>
      <c r="P40" s="726">
        <f t="shared" si="18"/>
        <v>6017.65</v>
      </c>
      <c r="Q40" s="726">
        <f t="shared" si="18"/>
        <v>6089.19</v>
      </c>
      <c r="R40" s="726">
        <f t="shared" si="18"/>
        <v>6256.8074099999994</v>
      </c>
      <c r="S40" s="726">
        <f t="shared" si="18"/>
        <v>5336.55</v>
      </c>
      <c r="T40" s="726">
        <f t="shared" si="18"/>
        <v>5212.55</v>
      </c>
      <c r="U40" s="726">
        <f t="shared" si="18"/>
        <v>5381.78</v>
      </c>
      <c r="V40" s="726">
        <f t="shared" si="18"/>
        <v>5346.28</v>
      </c>
      <c r="W40" s="726">
        <f t="shared" si="18"/>
        <v>5477.36</v>
      </c>
      <c r="X40" s="726">
        <f t="shared" si="18"/>
        <v>5676.3234000000002</v>
      </c>
      <c r="Y40" s="726">
        <f t="shared" si="18"/>
        <v>5630.86</v>
      </c>
      <c r="Z40" s="726">
        <f t="shared" si="18"/>
        <v>5828.46</v>
      </c>
      <c r="AA40" s="726">
        <f t="shared" si="18"/>
        <v>6013.72</v>
      </c>
      <c r="AB40" s="726">
        <f t="shared" si="18"/>
        <v>6343.2448700000004</v>
      </c>
      <c r="AC40" s="726">
        <v>5768.7254039999998</v>
      </c>
      <c r="AD40" s="726">
        <v>5833.5266600000004</v>
      </c>
      <c r="AE40" s="726">
        <v>5984.48</v>
      </c>
      <c r="AF40" s="758">
        <f t="shared" ref="AF40:AP40" si="19">AF31+AF37</f>
        <v>6330.54</v>
      </c>
      <c r="AG40" s="758">
        <f t="shared" si="19"/>
        <v>6329.81</v>
      </c>
      <c r="AH40" s="758">
        <f t="shared" si="19"/>
        <v>6327.55</v>
      </c>
      <c r="AI40" s="726">
        <f t="shared" si="19"/>
        <v>6409.4345899999998</v>
      </c>
      <c r="AJ40" s="1562">
        <f t="shared" si="19"/>
        <v>5808.0616499999996</v>
      </c>
      <c r="AK40" s="1565">
        <f t="shared" si="19"/>
        <v>5975.79</v>
      </c>
      <c r="AL40" s="1562">
        <f t="shared" si="19"/>
        <v>5925.2478700000001</v>
      </c>
      <c r="AM40" s="758">
        <f t="shared" si="19"/>
        <v>5901.0360000000001</v>
      </c>
      <c r="AN40" s="1644">
        <f t="shared" si="19"/>
        <v>5898.6009999999997</v>
      </c>
      <c r="AO40" s="758">
        <f>AO31+AO37</f>
        <v>5933.43</v>
      </c>
      <c r="AP40" s="758">
        <f t="shared" si="19"/>
        <v>6002.5712286808612</v>
      </c>
      <c r="AQ40" s="1589">
        <f>AP40/AO40-1</f>
        <v>1.1652826220392098E-2</v>
      </c>
    </row>
    <row r="41" spans="1:47" ht="14.25" x14ac:dyDescent="0.2">
      <c r="A41" s="634"/>
      <c r="B41" s="403"/>
      <c r="C41" s="236"/>
      <c r="D41" s="236"/>
      <c r="E41" s="236"/>
      <c r="F41" s="236"/>
      <c r="G41" s="236"/>
      <c r="H41" s="236"/>
      <c r="I41" s="236"/>
      <c r="J41" s="236"/>
      <c r="K41" s="236"/>
      <c r="L41" s="375"/>
      <c r="M41" s="403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652"/>
      <c r="AE41" s="652"/>
      <c r="AF41" s="853"/>
      <c r="AG41" s="958"/>
      <c r="AH41" s="958"/>
      <c r="AI41" s="236"/>
      <c r="AJ41" s="958"/>
      <c r="AK41" s="1285"/>
      <c r="AL41" s="1558"/>
      <c r="AM41" s="375"/>
      <c r="AN41" s="1645"/>
      <c r="AO41" s="375"/>
      <c r="AP41" s="375"/>
      <c r="AQ41" s="1531"/>
    </row>
    <row r="42" spans="1:47" ht="21" x14ac:dyDescent="0.25">
      <c r="A42" s="631" t="s">
        <v>179</v>
      </c>
      <c r="B42" s="518">
        <f t="shared" ref="B42:AA42" si="20">B27-B40</f>
        <v>258.13233000000037</v>
      </c>
      <c r="C42" s="442">
        <f t="shared" si="20"/>
        <v>190.4400599999999</v>
      </c>
      <c r="D42" s="442">
        <f t="shared" si="20"/>
        <v>208.68191000000024</v>
      </c>
      <c r="E42" s="442">
        <f t="shared" si="20"/>
        <v>329.78257000000031</v>
      </c>
      <c r="F42" s="442">
        <f t="shared" si="20"/>
        <v>209.69999999999982</v>
      </c>
      <c r="G42" s="442">
        <f t="shared" si="20"/>
        <v>123.65149999999994</v>
      </c>
      <c r="H42" s="496">
        <f t="shared" si="20"/>
        <v>260.54724999999962</v>
      </c>
      <c r="I42" s="442">
        <f t="shared" si="20"/>
        <v>127.05599999999959</v>
      </c>
      <c r="J42" s="442">
        <f t="shared" si="20"/>
        <v>205.16499999999905</v>
      </c>
      <c r="K42" s="442">
        <f t="shared" si="20"/>
        <v>215.89899999999943</v>
      </c>
      <c r="L42" s="496">
        <f t="shared" si="20"/>
        <v>207.52000000000044</v>
      </c>
      <c r="M42" s="518">
        <f t="shared" si="20"/>
        <v>109.25799999999981</v>
      </c>
      <c r="N42" s="442">
        <f t="shared" si="20"/>
        <v>186.5</v>
      </c>
      <c r="O42" s="442">
        <f t="shared" si="20"/>
        <v>206.89999999999964</v>
      </c>
      <c r="P42" s="442">
        <f t="shared" si="20"/>
        <v>157.35000000000036</v>
      </c>
      <c r="Q42" s="442">
        <f t="shared" si="20"/>
        <v>69.8100000000004</v>
      </c>
      <c r="R42" s="442">
        <f>SUM(R43:R45)</f>
        <v>122.661</v>
      </c>
      <c r="S42" s="442">
        <f t="shared" si="20"/>
        <v>138.44999999999982</v>
      </c>
      <c r="T42" s="442">
        <f t="shared" si="20"/>
        <v>141.81999999999971</v>
      </c>
      <c r="U42" s="442">
        <f t="shared" si="20"/>
        <v>145.22000000000025</v>
      </c>
      <c r="V42" s="442">
        <f t="shared" si="20"/>
        <v>130.72000000000025</v>
      </c>
      <c r="W42" s="442">
        <f t="shared" si="20"/>
        <v>107.64000000000033</v>
      </c>
      <c r="X42" s="442">
        <f>SUM(X43:X45)</f>
        <v>63.383000000000003</v>
      </c>
      <c r="Y42" s="442">
        <f t="shared" si="20"/>
        <v>262.78000000000065</v>
      </c>
      <c r="Z42" s="442">
        <f t="shared" si="20"/>
        <v>257.53999999999996</v>
      </c>
      <c r="AA42" s="442">
        <f t="shared" si="20"/>
        <v>108.27999999999975</v>
      </c>
      <c r="AB42" s="442">
        <f>SUM(AB43:AB45)</f>
        <v>63.36</v>
      </c>
      <c r="AC42" s="442">
        <v>74.974995999999919</v>
      </c>
      <c r="AD42" s="442">
        <v>37.13933999999972</v>
      </c>
      <c r="AE42" s="442">
        <v>132.52000000000001</v>
      </c>
      <c r="AF42" s="496">
        <f t="shared" ref="AF42:AP42" si="21">AF27-AF40</f>
        <v>92.460000000000036</v>
      </c>
      <c r="AG42" s="496">
        <f t="shared" si="21"/>
        <v>50.1899999999996</v>
      </c>
      <c r="AH42" s="496">
        <f t="shared" si="21"/>
        <v>96.449999999999818</v>
      </c>
      <c r="AI42" s="442">
        <f>SUM(AI43:AI45)</f>
        <v>136.83100000000002</v>
      </c>
      <c r="AJ42" s="1561">
        <f t="shared" si="21"/>
        <v>94.553350000000137</v>
      </c>
      <c r="AK42" s="1566">
        <f>AK27-AK40</f>
        <v>40.041000000000167</v>
      </c>
      <c r="AL42" s="1562">
        <f t="shared" si="21"/>
        <v>36.370130000000245</v>
      </c>
      <c r="AM42" s="758">
        <f t="shared" si="21"/>
        <v>139.39500000000044</v>
      </c>
      <c r="AN42" s="1644">
        <f t="shared" si="21"/>
        <v>198.33000000000084</v>
      </c>
      <c r="AO42" s="758">
        <f>SUM(AO43:AO45)</f>
        <v>138.80000000000001</v>
      </c>
      <c r="AP42" s="758">
        <f t="shared" si="21"/>
        <v>243.35163940525945</v>
      </c>
      <c r="AQ42" s="1590">
        <f>AP42/AO42-1</f>
        <v>0.75325388620503908</v>
      </c>
    </row>
    <row r="43" spans="1:47" ht="14.25" x14ac:dyDescent="0.2">
      <c r="A43" s="624" t="s">
        <v>11</v>
      </c>
      <c r="B43" s="1145">
        <v>253.24199999999999</v>
      </c>
      <c r="C43" s="1144">
        <v>186.887</v>
      </c>
      <c r="D43" s="1144">
        <v>205.00200000000001</v>
      </c>
      <c r="E43" s="1144">
        <v>250.13499999999999</v>
      </c>
      <c r="F43" s="653"/>
      <c r="G43" s="653"/>
      <c r="H43" s="1144">
        <v>191.821</v>
      </c>
      <c r="I43" s="653"/>
      <c r="J43" s="653"/>
      <c r="K43" s="653"/>
      <c r="L43" s="688"/>
      <c r="M43" s="1145">
        <v>108.184</v>
      </c>
      <c r="N43" s="653"/>
      <c r="O43" s="653"/>
      <c r="P43" s="653"/>
      <c r="Q43" s="653"/>
      <c r="R43" s="1253">
        <v>120.3</v>
      </c>
      <c r="S43" s="1253"/>
      <c r="T43" s="1253"/>
      <c r="U43" s="1253"/>
      <c r="V43" s="1253"/>
      <c r="W43" s="1253"/>
      <c r="X43" s="1253">
        <v>60.886000000000003</v>
      </c>
      <c r="Y43" s="1253"/>
      <c r="Z43" s="1253"/>
      <c r="AA43" s="1253"/>
      <c r="AB43" s="1253">
        <v>61.488999999999997</v>
      </c>
      <c r="AC43" s="1253"/>
      <c r="AD43" s="1253"/>
      <c r="AE43" s="1253"/>
      <c r="AF43" s="1254"/>
      <c r="AG43" s="1254"/>
      <c r="AH43" s="1255"/>
      <c r="AI43" s="1253">
        <v>115.098</v>
      </c>
      <c r="AJ43" s="1254"/>
      <c r="AK43" s="1253"/>
      <c r="AL43" s="1253"/>
      <c r="AM43" s="688"/>
      <c r="AN43" s="1646"/>
      <c r="AO43" s="1744">
        <v>136</v>
      </c>
      <c r="AP43" s="688"/>
      <c r="AQ43" s="1584"/>
    </row>
    <row r="44" spans="1:47" ht="14.25" x14ac:dyDescent="0.2">
      <c r="A44" s="624" t="s">
        <v>12</v>
      </c>
      <c r="B44" s="1145">
        <v>5.12</v>
      </c>
      <c r="C44" s="1144">
        <v>2.774</v>
      </c>
      <c r="D44" s="1144">
        <v>3.899</v>
      </c>
      <c r="E44" s="1144">
        <v>4.6349999999999998</v>
      </c>
      <c r="F44" s="653"/>
      <c r="G44" s="653"/>
      <c r="H44" s="1144">
        <v>3.0960000000000001</v>
      </c>
      <c r="I44" s="653"/>
      <c r="J44" s="653"/>
      <c r="K44" s="653"/>
      <c r="L44" s="688"/>
      <c r="M44" s="1145">
        <v>1.4490000000000001</v>
      </c>
      <c r="N44" s="653"/>
      <c r="O44" s="653"/>
      <c r="P44" s="653"/>
      <c r="Q44" s="653"/>
      <c r="R44" s="1253">
        <v>2.3610000000000002</v>
      </c>
      <c r="S44" s="1253"/>
      <c r="T44" s="1253"/>
      <c r="U44" s="1253"/>
      <c r="V44" s="1253"/>
      <c r="W44" s="1253"/>
      <c r="X44" s="1253">
        <v>2.4969999999999999</v>
      </c>
      <c r="Y44" s="1253"/>
      <c r="Z44" s="1253"/>
      <c r="AA44" s="1253"/>
      <c r="AB44" s="1253">
        <v>1.871</v>
      </c>
      <c r="AC44" s="1253"/>
      <c r="AD44" s="1253"/>
      <c r="AE44" s="1253"/>
      <c r="AF44" s="1254"/>
      <c r="AG44" s="1254"/>
      <c r="AH44" s="1255"/>
      <c r="AI44" s="1253">
        <v>6.7329999999999997</v>
      </c>
      <c r="AJ44" s="1254"/>
      <c r="AK44" s="1253"/>
      <c r="AL44" s="1254"/>
      <c r="AM44" s="688"/>
      <c r="AN44" s="1646"/>
      <c r="AO44" s="1744">
        <v>2.8</v>
      </c>
      <c r="AP44" s="688"/>
      <c r="AQ44" s="1584"/>
      <c r="AU44" s="1004"/>
    </row>
    <row r="45" spans="1:47" ht="14.25" x14ac:dyDescent="0.2">
      <c r="A45" s="624" t="s">
        <v>13</v>
      </c>
      <c r="B45" s="519"/>
      <c r="C45" s="653"/>
      <c r="D45" s="653"/>
      <c r="E45" s="653">
        <v>75</v>
      </c>
      <c r="F45" s="653"/>
      <c r="G45" s="653"/>
      <c r="H45" s="653">
        <v>65</v>
      </c>
      <c r="I45" s="653"/>
      <c r="J45" s="653"/>
      <c r="K45" s="653"/>
      <c r="L45" s="688"/>
      <c r="M45" s="519"/>
      <c r="N45" s="653"/>
      <c r="O45" s="653"/>
      <c r="P45" s="653"/>
      <c r="Q45" s="653"/>
      <c r="R45" s="653"/>
      <c r="S45" s="653"/>
      <c r="T45" s="653"/>
      <c r="U45" s="653"/>
      <c r="V45" s="653"/>
      <c r="W45" s="653"/>
      <c r="X45" s="653"/>
      <c r="Y45" s="653"/>
      <c r="Z45" s="653"/>
      <c r="AA45" s="653"/>
      <c r="AB45" s="653"/>
      <c r="AC45" s="653"/>
      <c r="AD45" s="653"/>
      <c r="AE45" s="1042"/>
      <c r="AF45" s="688"/>
      <c r="AG45" s="688"/>
      <c r="AH45" s="1068"/>
      <c r="AI45" s="653">
        <v>15</v>
      </c>
      <c r="AJ45" s="1254"/>
      <c r="AK45" s="1253"/>
      <c r="AL45" s="1254"/>
      <c r="AM45" s="688"/>
      <c r="AN45" s="1646"/>
      <c r="AO45" s="1744"/>
      <c r="AP45" s="688"/>
      <c r="AQ45" s="1584"/>
    </row>
    <row r="46" spans="1:47" ht="14.25" x14ac:dyDescent="0.2">
      <c r="A46" s="674" t="s">
        <v>176</v>
      </c>
      <c r="B46" s="660">
        <f>B42/B40</f>
        <v>5.9719239008814769E-2</v>
      </c>
      <c r="C46" s="661">
        <f t="shared" ref="C46:AE46" si="22">C42/C40</f>
        <v>3.8462480634483355E-2</v>
      </c>
      <c r="D46" s="661">
        <f t="shared" si="22"/>
        <v>3.7457626201387706E-2</v>
      </c>
      <c r="E46" s="661">
        <f t="shared" si="22"/>
        <v>5.3943595316436964E-2</v>
      </c>
      <c r="F46" s="661">
        <f t="shared" si="22"/>
        <v>3.8903215034413637E-2</v>
      </c>
      <c r="G46" s="661">
        <f t="shared" si="22"/>
        <v>2.1075049702170452E-2</v>
      </c>
      <c r="H46" s="661">
        <f t="shared" si="22"/>
        <v>4.4174062719916772E-2</v>
      </c>
      <c r="I46" s="661">
        <f t="shared" si="22"/>
        <v>2.2114602711343235E-2</v>
      </c>
      <c r="J46" s="661">
        <f t="shared" si="22"/>
        <v>3.5951197561349839E-2</v>
      </c>
      <c r="K46" s="661">
        <f t="shared" si="22"/>
        <v>3.6701101378124996E-2</v>
      </c>
      <c r="L46" s="689">
        <f t="shared" si="22"/>
        <v>3.4197668190994179E-2</v>
      </c>
      <c r="M46" s="660">
        <f t="shared" si="22"/>
        <v>1.8021452865619712E-2</v>
      </c>
      <c r="N46" s="661">
        <f t="shared" si="22"/>
        <v>3.1458210339883615E-2</v>
      </c>
      <c r="O46" s="661">
        <f t="shared" si="22"/>
        <v>3.4667649670749423E-2</v>
      </c>
      <c r="P46" s="661">
        <f t="shared" si="22"/>
        <v>2.614808106154402E-2</v>
      </c>
      <c r="Q46" s="661">
        <f t="shared" si="22"/>
        <v>1.1464579032679291E-2</v>
      </c>
      <c r="R46" s="661">
        <f t="shared" si="22"/>
        <v>1.9604407162022591E-2</v>
      </c>
      <c r="S46" s="661">
        <f t="shared" si="22"/>
        <v>2.5943727689237393E-2</v>
      </c>
      <c r="T46" s="661">
        <f t="shared" si="22"/>
        <v>2.7207412878533482E-2</v>
      </c>
      <c r="U46" s="661">
        <f t="shared" si="22"/>
        <v>2.6983637383913919E-2</v>
      </c>
      <c r="V46" s="661">
        <f t="shared" si="22"/>
        <v>2.4450646056697417E-2</v>
      </c>
      <c r="W46" s="661">
        <f t="shared" si="22"/>
        <v>1.965180305840776E-2</v>
      </c>
      <c r="X46" s="661">
        <f t="shared" si="22"/>
        <v>1.1166206632976549E-2</v>
      </c>
      <c r="Y46" s="661">
        <f t="shared" si="22"/>
        <v>4.6667826939401913E-2</v>
      </c>
      <c r="Z46" s="661">
        <f t="shared" si="22"/>
        <v>4.4186629058104533E-2</v>
      </c>
      <c r="AA46" s="661">
        <f t="shared" si="22"/>
        <v>1.8005494103483326E-2</v>
      </c>
      <c r="AB46" s="661">
        <f t="shared" si="22"/>
        <v>9.9885786058263887E-3</v>
      </c>
      <c r="AC46" s="661">
        <f t="shared" si="22"/>
        <v>1.2996804449733853E-2</v>
      </c>
      <c r="AD46" s="661">
        <f t="shared" si="22"/>
        <v>6.3665330021822029E-3</v>
      </c>
      <c r="AE46" s="1043">
        <f t="shared" si="22"/>
        <v>2.2143945672806996E-2</v>
      </c>
      <c r="AF46" s="854"/>
      <c r="AG46" s="854"/>
      <c r="AH46" s="1074"/>
      <c r="AI46" s="661">
        <f>AI42/AI40</f>
        <v>2.1348372945951231E-2</v>
      </c>
      <c r="AJ46" s="1560"/>
      <c r="AK46" s="1559">
        <f>AK42/AK40</f>
        <v>6.7005366654450992E-3</v>
      </c>
      <c r="AL46" s="1560"/>
      <c r="AM46" s="689"/>
      <c r="AN46" s="1647"/>
      <c r="AO46" s="689"/>
      <c r="AP46" s="689"/>
      <c r="AQ46" s="1591"/>
      <c r="AT46" s="1004"/>
    </row>
    <row r="47" spans="1:47" ht="14.25" x14ac:dyDescent="0.2">
      <c r="A47" s="707" t="s">
        <v>177</v>
      </c>
      <c r="B47" s="708"/>
      <c r="C47" s="708"/>
      <c r="D47" s="708"/>
      <c r="E47" s="708"/>
      <c r="F47" s="708"/>
      <c r="G47" s="708"/>
      <c r="H47" s="708"/>
      <c r="I47" s="708"/>
      <c r="J47" s="708"/>
      <c r="K47" s="708"/>
      <c r="L47" s="708"/>
      <c r="M47" s="708"/>
      <c r="N47" s="708"/>
      <c r="O47" s="708"/>
      <c r="P47" s="708"/>
      <c r="Q47" s="708"/>
      <c r="R47" s="708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40"/>
      <c r="AJ47" s="17"/>
      <c r="AK47" s="17"/>
      <c r="AL47" s="17"/>
      <c r="AM47" s="17"/>
      <c r="AN47" s="17"/>
      <c r="AO47" s="17"/>
      <c r="AP47" s="17"/>
    </row>
    <row r="48" spans="1:47" ht="14.25" x14ac:dyDescent="0.2">
      <c r="A48" s="1107" t="s">
        <v>236</v>
      </c>
    </row>
    <row r="49" spans="1:43" ht="14.25" x14ac:dyDescent="0.2">
      <c r="A49" s="1108" t="s">
        <v>218</v>
      </c>
      <c r="AO49" s="1004"/>
    </row>
    <row r="50" spans="1:43" x14ac:dyDescent="0.2">
      <c r="A50" s="4"/>
      <c r="R50" s="1004"/>
      <c r="S50" s="1004"/>
      <c r="T50" s="1004"/>
      <c r="U50" s="1004"/>
      <c r="V50" s="1004"/>
      <c r="W50" s="1004"/>
      <c r="X50" s="1004"/>
      <c r="Y50" s="1004"/>
      <c r="Z50" s="1004"/>
      <c r="AA50" s="1004"/>
      <c r="AB50" s="1004"/>
      <c r="AC50" s="1004"/>
      <c r="AD50" s="1004"/>
      <c r="AE50" s="1004"/>
      <c r="AF50" s="1004"/>
      <c r="AG50" s="1004"/>
      <c r="AH50" s="1004"/>
      <c r="AI50" s="1004"/>
      <c r="AJ50" s="1004"/>
      <c r="AK50" s="1004"/>
      <c r="AL50" s="1004"/>
      <c r="AM50" s="1004"/>
      <c r="AN50" s="1004"/>
      <c r="AO50" s="1004"/>
      <c r="AP50" s="1004"/>
      <c r="AQ50" s="1004"/>
    </row>
    <row r="51" spans="1:43" x14ac:dyDescent="0.2">
      <c r="A51" s="4"/>
      <c r="AB51" s="18"/>
    </row>
    <row r="52" spans="1:43" s="749" customFormat="1" ht="14.25" hidden="1" x14ac:dyDescent="0.2">
      <c r="A52" s="754" t="s">
        <v>46</v>
      </c>
      <c r="B52" s="753">
        <f t="shared" ref="B52:AE52" si="23">B20+B21+B23+B24-B31-B37-B42</f>
        <v>0</v>
      </c>
      <c r="C52" s="751">
        <f t="shared" si="23"/>
        <v>4.5474735088646412E-13</v>
      </c>
      <c r="D52" s="751">
        <f t="shared" si="23"/>
        <v>-2.2737367544323206E-13</v>
      </c>
      <c r="E52" s="751">
        <f t="shared" si="23"/>
        <v>-4.5474735088646412E-13</v>
      </c>
      <c r="F52" s="751">
        <f t="shared" si="23"/>
        <v>0</v>
      </c>
      <c r="G52" s="753">
        <f t="shared" si="23"/>
        <v>0</v>
      </c>
      <c r="H52" s="751">
        <f t="shared" si="23"/>
        <v>0</v>
      </c>
      <c r="I52" s="753">
        <f t="shared" si="23"/>
        <v>0</v>
      </c>
      <c r="J52" s="751">
        <f t="shared" si="23"/>
        <v>0</v>
      </c>
      <c r="K52" s="751">
        <f t="shared" si="23"/>
        <v>0</v>
      </c>
      <c r="L52" s="753">
        <f t="shared" si="23"/>
        <v>0</v>
      </c>
      <c r="M52" s="753">
        <f t="shared" si="23"/>
        <v>-2.2737367544323206E-13</v>
      </c>
      <c r="N52" s="751">
        <f t="shared" si="23"/>
        <v>0</v>
      </c>
      <c r="O52" s="753">
        <f t="shared" si="23"/>
        <v>0</v>
      </c>
      <c r="P52" s="751">
        <f t="shared" si="23"/>
        <v>0</v>
      </c>
      <c r="Q52" s="751">
        <f t="shared" si="23"/>
        <v>0</v>
      </c>
      <c r="R52" s="751">
        <f t="shared" si="23"/>
        <v>-0.42140999999941187</v>
      </c>
      <c r="S52" s="751">
        <f t="shared" si="23"/>
        <v>0</v>
      </c>
      <c r="T52" s="753">
        <f t="shared" si="23"/>
        <v>0</v>
      </c>
      <c r="U52" s="753">
        <f t="shared" si="23"/>
        <v>0</v>
      </c>
      <c r="V52" s="753">
        <f t="shared" si="23"/>
        <v>0</v>
      </c>
      <c r="W52" s="753">
        <f t="shared" si="23"/>
        <v>0</v>
      </c>
      <c r="X52" s="751">
        <f t="shared" si="23"/>
        <v>0.10960000000049064</v>
      </c>
      <c r="Y52" s="751">
        <f t="shared" si="23"/>
        <v>0</v>
      </c>
      <c r="Z52" s="751">
        <f t="shared" si="23"/>
        <v>0</v>
      </c>
      <c r="AA52" s="753">
        <f t="shared" si="23"/>
        <v>0</v>
      </c>
      <c r="AB52" s="751">
        <f t="shared" si="23"/>
        <v>-7.2870000001202584E-2</v>
      </c>
      <c r="AC52" s="751">
        <f t="shared" si="23"/>
        <v>0</v>
      </c>
      <c r="AD52" s="751">
        <f t="shared" si="23"/>
        <v>0</v>
      </c>
      <c r="AE52" s="753">
        <f t="shared" si="23"/>
        <v>4.2632564145606011E-13</v>
      </c>
      <c r="AF52" s="753"/>
      <c r="AG52" s="753"/>
      <c r="AH52" s="753"/>
      <c r="AI52" s="753"/>
      <c r="AJ52" s="753"/>
      <c r="AK52" s="753"/>
      <c r="AL52" s="753"/>
      <c r="AM52" s="753"/>
      <c r="AN52" s="753"/>
      <c r="AO52" s="753"/>
      <c r="AP52" s="753"/>
    </row>
    <row r="53" spans="1:43" x14ac:dyDescent="0.2">
      <c r="A53" s="4"/>
      <c r="X53" s="1004"/>
      <c r="AB53" s="1004"/>
      <c r="AI53" s="1004"/>
      <c r="AJ53" s="1004"/>
      <c r="AK53" s="1004"/>
      <c r="AL53" s="1004"/>
      <c r="AM53" s="1004"/>
      <c r="AN53" s="1004"/>
      <c r="AO53" s="1004"/>
      <c r="AP53" s="1004"/>
    </row>
    <row r="54" spans="1:43" x14ac:dyDescent="0.2">
      <c r="R54" s="1004"/>
      <c r="X54" s="1004"/>
      <c r="AB54" s="1004"/>
      <c r="AI54" s="1004"/>
      <c r="AN54" s="1004"/>
      <c r="AO54" s="1004"/>
      <c r="AP54" s="1004"/>
    </row>
    <row r="56" spans="1:43" x14ac:dyDescent="0.2">
      <c r="M56" s="1004"/>
    </row>
    <row r="57" spans="1:43" x14ac:dyDescent="0.2">
      <c r="E57" s="1004"/>
    </row>
  </sheetData>
  <phoneticPr fontId="3" type="noConversion"/>
  <conditionalFormatting sqref="AN10:AP10 AN8:AP8">
    <cfRule type="expression" dxfId="2" priority="1" stopIfTrue="1">
      <formula>ISERROR(AN8)</formula>
    </cfRule>
  </conditionalFormatting>
  <pageMargins left="0.23622047244094491" right="0.15748031496062992" top="0.39370078740157483" bottom="0.39370078740157483" header="0.51181102362204722" footer="0.51181102362204722"/>
  <pageSetup paperSize="9" scale="66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8"/>
  </sheetPr>
  <dimension ref="A1:AO54"/>
  <sheetViews>
    <sheetView topLeftCell="A4" workbookViewId="0">
      <selection activeCell="A55" sqref="A55"/>
    </sheetView>
  </sheetViews>
  <sheetFormatPr baseColWidth="10" defaultRowHeight="12.75" x14ac:dyDescent="0.2"/>
  <cols>
    <col min="1" max="1" width="46.7109375" customWidth="1"/>
    <col min="2" max="2" width="16" hidden="1" customWidth="1"/>
    <col min="3" max="3" width="12.5703125" hidden="1" customWidth="1"/>
    <col min="4" max="4" width="12.7109375" hidden="1" customWidth="1"/>
    <col min="5" max="5" width="13.42578125" hidden="1" customWidth="1"/>
    <col min="6" max="6" width="17" hidden="1" customWidth="1"/>
    <col min="7" max="7" width="11.42578125" hidden="1" customWidth="1"/>
    <col min="8" max="8" width="20.42578125" hidden="1" customWidth="1"/>
    <col min="9" max="10" width="15.85546875" hidden="1" customWidth="1"/>
    <col min="11" max="11" width="11.42578125" hidden="1" customWidth="1"/>
    <col min="12" max="12" width="15.85546875" hidden="1" customWidth="1"/>
    <col min="13" max="13" width="14.140625" hidden="1" customWidth="1"/>
    <col min="14" max="14" width="14" hidden="1" customWidth="1"/>
    <col min="15" max="16" width="11.42578125" hidden="1" customWidth="1"/>
    <col min="17" max="17" width="15.85546875" hidden="1" customWidth="1"/>
    <col min="18" max="22" width="11.42578125" hidden="1" customWidth="1"/>
    <col min="23" max="23" width="15.85546875" hidden="1" customWidth="1"/>
    <col min="24" max="24" width="32.42578125" hidden="1" customWidth="1"/>
    <col min="25" max="25" width="31" hidden="1" customWidth="1"/>
    <col min="26" max="26" width="30.28515625" hidden="1" customWidth="1"/>
    <col min="27" max="27" width="22.7109375" hidden="1" customWidth="1"/>
    <col min="28" max="28" width="15.85546875" hidden="1" customWidth="1"/>
    <col min="29" max="30" width="24.140625" hidden="1" customWidth="1"/>
    <col min="31" max="33" width="15.85546875" hidden="1" customWidth="1"/>
    <col min="34" max="34" width="15.85546875" customWidth="1"/>
    <col min="35" max="35" width="15.85546875" hidden="1" customWidth="1"/>
    <col min="36" max="37" width="15.85546875" customWidth="1"/>
  </cols>
  <sheetData>
    <row r="1" spans="1:39" ht="78.75" customHeight="1" x14ac:dyDescent="0.2">
      <c r="A1" s="755"/>
      <c r="B1" s="755"/>
      <c r="C1" s="755"/>
      <c r="D1" s="755"/>
      <c r="E1" s="755"/>
      <c r="F1" s="755"/>
      <c r="G1" s="755"/>
      <c r="H1" s="755"/>
      <c r="I1" s="755"/>
      <c r="J1" s="755"/>
      <c r="K1" s="755"/>
      <c r="L1" s="755"/>
      <c r="M1" s="755"/>
      <c r="N1" s="755"/>
      <c r="O1" s="755"/>
      <c r="P1" s="755"/>
      <c r="Q1" s="755"/>
      <c r="R1" s="755"/>
      <c r="S1" s="755"/>
      <c r="T1" s="755"/>
      <c r="U1" s="755"/>
      <c r="V1" s="755"/>
      <c r="W1" s="755"/>
      <c r="X1" s="755"/>
      <c r="Y1" s="755"/>
      <c r="Z1" s="755"/>
      <c r="AA1" s="755"/>
      <c r="AB1" s="755"/>
      <c r="AC1" s="755"/>
      <c r="AD1" s="755"/>
      <c r="AE1" s="755"/>
      <c r="AF1" s="755"/>
      <c r="AG1" s="755"/>
      <c r="AH1" s="755"/>
      <c r="AI1" s="755"/>
      <c r="AJ1" s="755"/>
      <c r="AK1" s="755"/>
    </row>
    <row r="2" spans="1:39" ht="20.25" customHeight="1" x14ac:dyDescent="0.3">
      <c r="A2" s="405" t="s">
        <v>47</v>
      </c>
      <c r="B2" s="406" t="s">
        <v>28</v>
      </c>
      <c r="C2" s="406" t="s">
        <v>19</v>
      </c>
      <c r="D2" s="406" t="s">
        <v>18</v>
      </c>
      <c r="E2" s="406" t="s">
        <v>16</v>
      </c>
      <c r="F2" s="406" t="s">
        <v>62</v>
      </c>
      <c r="G2" s="406" t="s">
        <v>64</v>
      </c>
      <c r="H2" s="406" t="s">
        <v>34</v>
      </c>
      <c r="I2" s="406" t="s">
        <v>39</v>
      </c>
      <c r="J2" s="406" t="s">
        <v>67</v>
      </c>
      <c r="K2" s="407" t="s">
        <v>67</v>
      </c>
      <c r="L2" s="408" t="s">
        <v>48</v>
      </c>
      <c r="M2" s="409" t="s">
        <v>40</v>
      </c>
      <c r="N2" s="409" t="s">
        <v>70</v>
      </c>
      <c r="O2" s="409" t="s">
        <v>22</v>
      </c>
      <c r="P2" s="409" t="s">
        <v>23</v>
      </c>
      <c r="Q2" s="409" t="s">
        <v>49</v>
      </c>
      <c r="R2" s="409"/>
      <c r="S2" s="409"/>
      <c r="T2" s="409"/>
      <c r="U2" s="409"/>
      <c r="V2" s="409"/>
      <c r="W2" s="409" t="s">
        <v>50</v>
      </c>
      <c r="X2" s="409"/>
      <c r="Y2" s="409"/>
      <c r="Z2" s="409"/>
      <c r="AA2" s="409"/>
      <c r="AB2" s="410" t="s">
        <v>51</v>
      </c>
      <c r="AC2" s="409"/>
      <c r="AD2" s="409"/>
      <c r="AE2" s="410" t="s">
        <v>52</v>
      </c>
      <c r="AF2" s="410" t="s">
        <v>52</v>
      </c>
      <c r="AG2" s="410" t="s">
        <v>52</v>
      </c>
      <c r="AH2" s="410" t="s">
        <v>52</v>
      </c>
      <c r="AI2" s="410" t="s">
        <v>203</v>
      </c>
      <c r="AJ2" s="410" t="s">
        <v>203</v>
      </c>
      <c r="AK2" s="411" t="s">
        <v>53</v>
      </c>
    </row>
    <row r="3" spans="1:39" ht="20.25" customHeight="1" x14ac:dyDescent="0.2">
      <c r="A3" s="246"/>
      <c r="B3" s="247"/>
      <c r="C3" s="247"/>
      <c r="D3" s="247"/>
      <c r="E3" s="247"/>
      <c r="F3" s="247" t="s">
        <v>66</v>
      </c>
      <c r="G3" s="247" t="s">
        <v>65</v>
      </c>
      <c r="H3" s="247"/>
      <c r="I3" s="247" t="s">
        <v>63</v>
      </c>
      <c r="J3" s="247" t="s">
        <v>68</v>
      </c>
      <c r="K3" s="247" t="s">
        <v>72</v>
      </c>
      <c r="L3" s="377"/>
      <c r="M3" s="142" t="s">
        <v>69</v>
      </c>
      <c r="N3" s="142" t="s">
        <v>71</v>
      </c>
      <c r="O3" s="142"/>
      <c r="P3" s="142"/>
      <c r="Q3" s="142"/>
      <c r="R3" s="143" t="s">
        <v>24</v>
      </c>
      <c r="S3" s="143" t="s">
        <v>25</v>
      </c>
      <c r="T3" s="143" t="s">
        <v>26</v>
      </c>
      <c r="U3" s="143" t="s">
        <v>27</v>
      </c>
      <c r="V3" s="143" t="s">
        <v>32</v>
      </c>
      <c r="W3" s="142"/>
      <c r="X3" s="143" t="s">
        <v>33</v>
      </c>
      <c r="Y3" s="143" t="s">
        <v>35</v>
      </c>
      <c r="Z3" s="143" t="s">
        <v>36</v>
      </c>
      <c r="AA3" s="143" t="s">
        <v>43</v>
      </c>
      <c r="AB3" s="673" t="s">
        <v>153</v>
      </c>
      <c r="AC3" s="143" t="s">
        <v>38</v>
      </c>
      <c r="AD3" s="143" t="s">
        <v>41</v>
      </c>
      <c r="AE3" s="673" t="s">
        <v>156</v>
      </c>
      <c r="AF3" s="673" t="s">
        <v>190</v>
      </c>
      <c r="AG3" s="673" t="s">
        <v>198</v>
      </c>
      <c r="AH3" s="673" t="s">
        <v>207</v>
      </c>
      <c r="AI3" s="673" t="s">
        <v>198</v>
      </c>
      <c r="AJ3" s="673" t="s">
        <v>207</v>
      </c>
      <c r="AK3" s="248" t="s">
        <v>204</v>
      </c>
      <c r="AL3" s="4"/>
    </row>
    <row r="4" spans="1:39" ht="20.25" customHeight="1" x14ac:dyDescent="0.2">
      <c r="A4" s="249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378"/>
      <c r="M4" s="144"/>
      <c r="N4" s="144"/>
      <c r="O4" s="144"/>
      <c r="P4" s="144"/>
      <c r="Q4" s="145"/>
      <c r="R4" s="144"/>
      <c r="S4" s="144"/>
      <c r="T4" s="144"/>
      <c r="U4" s="144"/>
      <c r="V4" s="144"/>
      <c r="W4" s="145"/>
      <c r="X4" s="144"/>
      <c r="Y4" s="144"/>
      <c r="Z4" s="144"/>
      <c r="AA4" s="144"/>
      <c r="AB4" s="146"/>
      <c r="AC4" s="144"/>
      <c r="AD4" s="144"/>
      <c r="AE4" s="146"/>
      <c r="AF4" s="822"/>
      <c r="AG4" s="822"/>
      <c r="AH4" s="822"/>
      <c r="AI4" s="822"/>
      <c r="AJ4" s="822"/>
      <c r="AK4" s="250"/>
      <c r="AL4" s="4"/>
    </row>
    <row r="5" spans="1:39" x14ac:dyDescent="0.2">
      <c r="A5" s="251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379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823"/>
      <c r="AG5" s="823"/>
      <c r="AH5" s="823"/>
      <c r="AI5" s="823"/>
      <c r="AJ5" s="823"/>
      <c r="AK5" s="252"/>
    </row>
    <row r="6" spans="1:39" ht="21.75" customHeight="1" x14ac:dyDescent="0.25">
      <c r="A6" s="253" t="s">
        <v>1</v>
      </c>
      <c r="B6" s="153"/>
      <c r="C6" s="153"/>
      <c r="D6" s="153"/>
      <c r="E6" s="153"/>
      <c r="F6" s="154"/>
      <c r="G6" s="153"/>
      <c r="H6" s="153" t="s">
        <v>54</v>
      </c>
      <c r="I6" s="153"/>
      <c r="J6" s="153"/>
      <c r="K6" s="232"/>
      <c r="L6" s="380" t="s">
        <v>54</v>
      </c>
      <c r="M6" s="153" t="s">
        <v>54</v>
      </c>
      <c r="N6" s="153" t="s">
        <v>54</v>
      </c>
      <c r="O6" s="153" t="s">
        <v>54</v>
      </c>
      <c r="P6" s="153" t="s">
        <v>54</v>
      </c>
      <c r="Q6" s="155" t="s">
        <v>54</v>
      </c>
      <c r="R6" s="155" t="s">
        <v>54</v>
      </c>
      <c r="S6" s="155" t="s">
        <v>54</v>
      </c>
      <c r="T6" s="156"/>
      <c r="U6" s="156"/>
      <c r="V6" s="156"/>
      <c r="W6" s="155" t="s">
        <v>54</v>
      </c>
      <c r="X6" s="156"/>
      <c r="Y6" s="156"/>
      <c r="Z6" s="156"/>
      <c r="AA6" s="156"/>
      <c r="AB6" s="155" t="s">
        <v>55</v>
      </c>
      <c r="AC6" s="155" t="s">
        <v>55</v>
      </c>
      <c r="AD6" s="155" t="s">
        <v>55</v>
      </c>
      <c r="AE6" s="155" t="s">
        <v>55</v>
      </c>
      <c r="AF6" s="155" t="s">
        <v>55</v>
      </c>
      <c r="AG6" s="155" t="s">
        <v>55</v>
      </c>
      <c r="AH6" s="848"/>
      <c r="AI6" s="848"/>
      <c r="AJ6" s="848"/>
      <c r="AK6" s="254"/>
    </row>
    <row r="7" spans="1:39" s="4" customFormat="1" ht="12.75" customHeight="1" x14ac:dyDescent="0.25">
      <c r="A7" s="255"/>
      <c r="B7" s="157"/>
      <c r="C7" s="157"/>
      <c r="D7" s="157"/>
      <c r="E7" s="157"/>
      <c r="F7" s="158"/>
      <c r="G7" s="157"/>
      <c r="H7" s="157"/>
      <c r="I7" s="157"/>
      <c r="J7" s="157"/>
      <c r="K7" s="233"/>
      <c r="L7" s="381"/>
      <c r="M7" s="160"/>
      <c r="N7" s="160"/>
      <c r="O7" s="160"/>
      <c r="P7" s="160"/>
      <c r="Q7" s="159"/>
      <c r="R7" s="161"/>
      <c r="S7" s="161"/>
      <c r="T7" s="162"/>
      <c r="U7" s="162"/>
      <c r="V7" s="162"/>
      <c r="W7" s="159"/>
      <c r="X7" s="162"/>
      <c r="Y7" s="162"/>
      <c r="Z7" s="162"/>
      <c r="AA7" s="162"/>
      <c r="AB7" s="159"/>
      <c r="AC7" s="161"/>
      <c r="AD7" s="161"/>
      <c r="AE7" s="159"/>
      <c r="AF7" s="930"/>
      <c r="AG7" s="827"/>
      <c r="AH7" s="966" t="s">
        <v>210</v>
      </c>
      <c r="AI7" s="969"/>
      <c r="AJ7" s="969" t="s">
        <v>210</v>
      </c>
      <c r="AK7" s="746"/>
    </row>
    <row r="8" spans="1:39" ht="15" x14ac:dyDescent="0.25">
      <c r="A8" s="256" t="s">
        <v>57</v>
      </c>
      <c r="B8" s="163">
        <v>78</v>
      </c>
      <c r="C8" s="163">
        <v>53</v>
      </c>
      <c r="D8" s="163">
        <v>61</v>
      </c>
      <c r="E8" s="163">
        <v>87</v>
      </c>
      <c r="F8" s="163">
        <v>131</v>
      </c>
      <c r="G8" s="163">
        <v>150</v>
      </c>
      <c r="H8" s="163">
        <v>150</v>
      </c>
      <c r="I8" s="163">
        <v>92.058999999999997</v>
      </c>
      <c r="J8" s="163">
        <v>91.448999999999998</v>
      </c>
      <c r="K8" s="358">
        <v>92</v>
      </c>
      <c r="L8" s="382">
        <v>92</v>
      </c>
      <c r="M8" s="165">
        <v>61</v>
      </c>
      <c r="N8" s="165">
        <v>61</v>
      </c>
      <c r="O8" s="165">
        <v>64</v>
      </c>
      <c r="P8" s="165">
        <v>60</v>
      </c>
      <c r="Q8" s="164">
        <v>60</v>
      </c>
      <c r="R8" s="165">
        <v>63</v>
      </c>
      <c r="S8" s="165">
        <v>67</v>
      </c>
      <c r="T8" s="165">
        <v>68</v>
      </c>
      <c r="U8" s="165">
        <v>68</v>
      </c>
      <c r="V8" s="165">
        <v>71</v>
      </c>
      <c r="W8" s="164">
        <v>68</v>
      </c>
      <c r="X8" s="165">
        <v>71</v>
      </c>
      <c r="Y8" s="165">
        <v>77</v>
      </c>
      <c r="Z8" s="165">
        <v>76</v>
      </c>
      <c r="AA8" s="165">
        <v>75</v>
      </c>
      <c r="AB8" s="164">
        <v>75</v>
      </c>
      <c r="AC8" s="165">
        <v>85</v>
      </c>
      <c r="AD8" s="165">
        <v>81</v>
      </c>
      <c r="AE8" s="164">
        <v>81</v>
      </c>
      <c r="AF8" s="931">
        <v>87</v>
      </c>
      <c r="AG8" s="828">
        <f>'FEV '!AG8</f>
        <v>87</v>
      </c>
      <c r="AH8" s="828">
        <f>'FEV '!AH8</f>
        <v>86</v>
      </c>
      <c r="AI8" s="942"/>
      <c r="AJ8" s="942">
        <v>76.566999999999993</v>
      </c>
      <c r="AK8" s="475">
        <f>(AJ8-AH8)/AH8</f>
        <v>-0.10968604651162799</v>
      </c>
    </row>
    <row r="9" spans="1:39" ht="15" x14ac:dyDescent="0.25">
      <c r="A9" s="256" t="s">
        <v>58</v>
      </c>
      <c r="B9" s="166">
        <f t="shared" ref="B9:K9" si="0">IF(B8="","",(B10/B8)*10)</f>
        <v>37.179487179487182</v>
      </c>
      <c r="C9" s="166">
        <f t="shared" si="0"/>
        <v>45.283018867924525</v>
      </c>
      <c r="D9" s="166">
        <f t="shared" si="0"/>
        <v>52.131147540983605</v>
      </c>
      <c r="E9" s="166">
        <f t="shared" si="0"/>
        <v>50.114942528735625</v>
      </c>
      <c r="F9" s="166">
        <f t="shared" si="0"/>
        <v>38.473282442748094</v>
      </c>
      <c r="G9" s="166">
        <f t="shared" si="0"/>
        <v>31.866666666666667</v>
      </c>
      <c r="H9" s="166">
        <f t="shared" si="0"/>
        <v>31.933333333333334</v>
      </c>
      <c r="I9" s="166">
        <f t="shared" si="0"/>
        <v>38.493792024679827</v>
      </c>
      <c r="J9" s="166">
        <f t="shared" si="0"/>
        <v>37.616923093746244</v>
      </c>
      <c r="K9" s="359">
        <f t="shared" si="0"/>
        <v>37</v>
      </c>
      <c r="L9" s="383">
        <f>IF(L8="","",(L10/L8)*10)</f>
        <v>37.699999999999996</v>
      </c>
      <c r="M9" s="167">
        <v>4.7</v>
      </c>
      <c r="N9" s="167">
        <v>5</v>
      </c>
      <c r="O9" s="167">
        <v>4.8</v>
      </c>
      <c r="P9" s="167">
        <v>4.58</v>
      </c>
      <c r="Q9" s="843">
        <f>IF(Q8="","",(Q10/Q8)*10)</f>
        <v>45.666666666666664</v>
      </c>
      <c r="R9" s="167">
        <f t="shared" ref="R9:AD9" si="1">IF(R8="","",(R10/R8)*10)</f>
        <v>45</v>
      </c>
      <c r="S9" s="167">
        <f t="shared" si="1"/>
        <v>40.447761194029852</v>
      </c>
      <c r="T9" s="167">
        <f t="shared" si="1"/>
        <v>35.441176470588232</v>
      </c>
      <c r="U9" s="167">
        <f t="shared" si="1"/>
        <v>35.441176470588232</v>
      </c>
      <c r="V9" s="167">
        <f t="shared" si="1"/>
        <v>35.774647887323944</v>
      </c>
      <c r="W9" s="166">
        <f>IF(W8="","",(W10/W8)*10)</f>
        <v>35.588235294117645</v>
      </c>
      <c r="X9" s="167">
        <f t="shared" si="1"/>
        <v>40.200000000000003</v>
      </c>
      <c r="Y9" s="168">
        <f t="shared" si="1"/>
        <v>36.36363636363636</v>
      </c>
      <c r="Z9" s="168">
        <f t="shared" si="1"/>
        <v>37.10526315789474</v>
      </c>
      <c r="AA9" s="168">
        <f t="shared" si="1"/>
        <v>37.333333333333336</v>
      </c>
      <c r="AB9" s="166">
        <f>IF(AB8="","",(AB10/AB8)*10)</f>
        <v>37.333333333333336</v>
      </c>
      <c r="AC9" s="168">
        <f t="shared" si="1"/>
        <v>37.6</v>
      </c>
      <c r="AD9" s="168">
        <f t="shared" si="1"/>
        <v>34.320987654320987</v>
      </c>
      <c r="AE9" s="166">
        <f>IF(AE8="","",(AE10/AE8)*10)</f>
        <v>30.74074074074074</v>
      </c>
      <c r="AF9" s="359">
        <v>28.6</v>
      </c>
      <c r="AG9" s="829">
        <f>'FEV '!AG9</f>
        <v>28.72</v>
      </c>
      <c r="AH9" s="829">
        <f>'FEV '!AH9</f>
        <v>29.84</v>
      </c>
      <c r="AI9" s="943"/>
      <c r="AJ9" s="943">
        <v>29</v>
      </c>
      <c r="AK9" s="475">
        <f>(AJ9-AH9)/AH9</f>
        <v>-2.8150134048257367E-2</v>
      </c>
      <c r="AM9" s="963"/>
    </row>
    <row r="10" spans="1:39" ht="15" x14ac:dyDescent="0.25">
      <c r="A10" s="256" t="s">
        <v>56</v>
      </c>
      <c r="B10" s="169">
        <v>290</v>
      </c>
      <c r="C10" s="169">
        <v>240</v>
      </c>
      <c r="D10" s="169">
        <v>318</v>
      </c>
      <c r="E10" s="169">
        <v>436</v>
      </c>
      <c r="F10" s="169">
        <v>504</v>
      </c>
      <c r="G10" s="169">
        <v>478</v>
      </c>
      <c r="H10" s="169">
        <v>479</v>
      </c>
      <c r="I10" s="169">
        <v>354.37</v>
      </c>
      <c r="J10" s="169">
        <v>344.00299999999999</v>
      </c>
      <c r="K10" s="360">
        <v>340.4</v>
      </c>
      <c r="L10" s="384">
        <v>346.84</v>
      </c>
      <c r="M10" s="165">
        <v>286.7</v>
      </c>
      <c r="N10" s="165">
        <v>305</v>
      </c>
      <c r="O10" s="165">
        <v>307.2</v>
      </c>
      <c r="P10" s="165">
        <v>274.8</v>
      </c>
      <c r="Q10" s="170">
        <v>274</v>
      </c>
      <c r="R10" s="165">
        <v>283.5</v>
      </c>
      <c r="S10" s="165">
        <v>271</v>
      </c>
      <c r="T10" s="165">
        <v>241</v>
      </c>
      <c r="U10" s="165">
        <v>241</v>
      </c>
      <c r="V10" s="165">
        <v>254</v>
      </c>
      <c r="W10" s="170">
        <v>242</v>
      </c>
      <c r="X10" s="165">
        <v>285.42</v>
      </c>
      <c r="Y10" s="165">
        <v>280</v>
      </c>
      <c r="Z10" s="165">
        <v>282</v>
      </c>
      <c r="AA10" s="165">
        <v>280</v>
      </c>
      <c r="AB10" s="170">
        <v>280</v>
      </c>
      <c r="AC10" s="165">
        <v>319.60000000000002</v>
      </c>
      <c r="AD10" s="165">
        <v>278</v>
      </c>
      <c r="AE10" s="170">
        <v>249</v>
      </c>
      <c r="AF10" s="932">
        <v>249</v>
      </c>
      <c r="AG10" s="830">
        <f>'FEV '!AG10</f>
        <v>250</v>
      </c>
      <c r="AH10" s="828">
        <f>'FEV '!AH10</f>
        <v>256.62399999999997</v>
      </c>
      <c r="AI10" s="944"/>
      <c r="AJ10" s="944">
        <f>AJ8*AJ9/10</f>
        <v>222.04429999999996</v>
      </c>
      <c r="AK10" s="475">
        <f>(AJ10-AH10)/AH10</f>
        <v>-0.1347485036473596</v>
      </c>
    </row>
    <row r="11" spans="1:39" ht="15" x14ac:dyDescent="0.25">
      <c r="A11" s="258"/>
      <c r="B11" s="171"/>
      <c r="C11" s="171"/>
      <c r="D11" s="171"/>
      <c r="E11" s="171"/>
      <c r="F11" s="171"/>
      <c r="G11" s="171"/>
      <c r="H11" s="171"/>
      <c r="I11" s="171"/>
      <c r="J11" s="171"/>
      <c r="K11" s="361"/>
      <c r="L11" s="385"/>
      <c r="M11" s="173"/>
      <c r="N11" s="173"/>
      <c r="O11" s="173"/>
      <c r="P11" s="173"/>
      <c r="Q11" s="172"/>
      <c r="R11" s="173"/>
      <c r="S11" s="173"/>
      <c r="T11" s="173"/>
      <c r="U11" s="173"/>
      <c r="V11" s="173"/>
      <c r="W11" s="172"/>
      <c r="X11" s="173"/>
      <c r="Y11" s="173"/>
      <c r="Z11" s="173"/>
      <c r="AA11" s="173"/>
      <c r="AB11" s="172"/>
      <c r="AC11" s="173"/>
      <c r="AD11" s="173"/>
      <c r="AE11" s="172"/>
      <c r="AF11" s="933"/>
      <c r="AG11" s="831"/>
      <c r="AH11" s="831"/>
      <c r="AI11" s="945"/>
      <c r="AJ11" s="945"/>
      <c r="AK11" s="475"/>
    </row>
    <row r="12" spans="1:39" ht="14.25" x14ac:dyDescent="0.2">
      <c r="A12" s="957" t="s">
        <v>60</v>
      </c>
      <c r="B12" s="174">
        <f>IF(B21="","",B10-B21)</f>
        <v>52</v>
      </c>
      <c r="C12" s="174">
        <f t="shared" ref="C12:K12" si="2">IF(C21="","",C10-C21)</f>
        <v>47</v>
      </c>
      <c r="D12" s="174">
        <f t="shared" si="2"/>
        <v>37.641999999999996</v>
      </c>
      <c r="E12" s="174">
        <f t="shared" si="2"/>
        <v>51</v>
      </c>
      <c r="F12" s="174">
        <f t="shared" si="2"/>
        <v>68</v>
      </c>
      <c r="G12" s="174">
        <f t="shared" si="2"/>
        <v>75</v>
      </c>
      <c r="H12" s="174">
        <f t="shared" si="2"/>
        <v>77.925000000000011</v>
      </c>
      <c r="I12" s="174">
        <f t="shared" si="2"/>
        <v>67.340000000000032</v>
      </c>
      <c r="J12" s="174">
        <f t="shared" si="2"/>
        <v>58.532999999999959</v>
      </c>
      <c r="K12" s="243">
        <f t="shared" si="2"/>
        <v>69.399999999999977</v>
      </c>
      <c r="L12" s="982">
        <f>IF(L21="","",L10-L21)</f>
        <v>77.839999999999975</v>
      </c>
      <c r="M12" s="427">
        <v>51.7</v>
      </c>
      <c r="N12" s="427">
        <v>71</v>
      </c>
      <c r="O12" s="427">
        <v>74.2</v>
      </c>
      <c r="P12" s="427">
        <v>41.8</v>
      </c>
      <c r="Q12" s="797">
        <f t="shared" ref="Q12:AE12" si="3">IF(Q21="","",Q10-Q21)</f>
        <v>45</v>
      </c>
      <c r="R12" s="427">
        <f t="shared" si="3"/>
        <v>56.699999999999989</v>
      </c>
      <c r="S12" s="427">
        <f t="shared" si="3"/>
        <v>46</v>
      </c>
      <c r="T12" s="427">
        <f t="shared" si="3"/>
        <v>46</v>
      </c>
      <c r="U12" s="427">
        <f t="shared" si="3"/>
        <v>45</v>
      </c>
      <c r="V12" s="427">
        <f t="shared" si="3"/>
        <v>46</v>
      </c>
      <c r="W12" s="983">
        <f t="shared" si="3"/>
        <v>42</v>
      </c>
      <c r="X12" s="984" t="str">
        <f t="shared" si="3"/>
        <v/>
      </c>
      <c r="Y12" s="985">
        <f t="shared" si="3"/>
        <v>67</v>
      </c>
      <c r="Z12" s="985">
        <f t="shared" si="3"/>
        <v>70</v>
      </c>
      <c r="AA12" s="985">
        <f t="shared" si="3"/>
        <v>67</v>
      </c>
      <c r="AB12" s="983">
        <f t="shared" si="3"/>
        <v>72</v>
      </c>
      <c r="AC12" s="985">
        <f t="shared" si="3"/>
        <v>63.600000000000023</v>
      </c>
      <c r="AD12" s="985">
        <f t="shared" si="3"/>
        <v>56</v>
      </c>
      <c r="AE12" s="983">
        <f t="shared" si="3"/>
        <v>67</v>
      </c>
      <c r="AF12" s="986">
        <f>AF10-AF21</f>
        <v>72</v>
      </c>
      <c r="AG12" s="987">
        <f>'FEV '!AG12</f>
        <v>73</v>
      </c>
      <c r="AH12" s="784"/>
      <c r="AI12" s="878"/>
      <c r="AJ12" s="878"/>
      <c r="AK12" s="260" t="e">
        <f>(AJ12-AH12)/AH12</f>
        <v>#DIV/0!</v>
      </c>
    </row>
    <row r="13" spans="1:39" ht="15" x14ac:dyDescent="0.25">
      <c r="A13" s="976" t="s">
        <v>61</v>
      </c>
      <c r="B13" s="180">
        <f>(B12/B10)</f>
        <v>0.1793103448275862</v>
      </c>
      <c r="C13" s="180">
        <f t="shared" ref="C13:K13" si="4">(C12/C10)</f>
        <v>0.19583333333333333</v>
      </c>
      <c r="D13" s="180">
        <f t="shared" si="4"/>
        <v>0.11837106918238992</v>
      </c>
      <c r="E13" s="180">
        <f t="shared" si="4"/>
        <v>0.11697247706422019</v>
      </c>
      <c r="F13" s="180">
        <f t="shared" si="4"/>
        <v>0.13492063492063491</v>
      </c>
      <c r="G13" s="180">
        <f t="shared" si="4"/>
        <v>0.15690376569037656</v>
      </c>
      <c r="H13" s="180">
        <f t="shared" si="4"/>
        <v>0.16268267223382049</v>
      </c>
      <c r="I13" s="180">
        <f t="shared" si="4"/>
        <v>0.19002737252024729</v>
      </c>
      <c r="J13" s="180">
        <f t="shared" si="4"/>
        <v>0.1701525858786114</v>
      </c>
      <c r="K13" s="362">
        <f t="shared" si="4"/>
        <v>0.20387779083431251</v>
      </c>
      <c r="L13" s="988">
        <f>(L12/L10)</f>
        <v>0.22442624841425435</v>
      </c>
      <c r="M13" s="789"/>
      <c r="N13" s="789"/>
      <c r="O13" s="789"/>
      <c r="P13" s="789"/>
      <c r="Q13" s="790">
        <f t="shared" ref="Q13:AE13" si="5">(Q12/Q10)</f>
        <v>0.16423357664233576</v>
      </c>
      <c r="R13" s="789">
        <f t="shared" si="5"/>
        <v>0.19999999999999996</v>
      </c>
      <c r="S13" s="789">
        <f t="shared" si="5"/>
        <v>0.16974169741697417</v>
      </c>
      <c r="T13" s="789">
        <f t="shared" si="5"/>
        <v>0.1908713692946058</v>
      </c>
      <c r="U13" s="789">
        <f t="shared" si="5"/>
        <v>0.18672199170124482</v>
      </c>
      <c r="V13" s="789">
        <f t="shared" si="5"/>
        <v>0.18110236220472442</v>
      </c>
      <c r="W13" s="989">
        <f t="shared" si="5"/>
        <v>0.17355371900826447</v>
      </c>
      <c r="X13" s="990" t="e">
        <f t="shared" si="5"/>
        <v>#VALUE!</v>
      </c>
      <c r="Y13" s="991">
        <f t="shared" si="5"/>
        <v>0.2392857142857143</v>
      </c>
      <c r="Z13" s="991">
        <f t="shared" si="5"/>
        <v>0.24822695035460993</v>
      </c>
      <c r="AA13" s="991">
        <f t="shared" si="5"/>
        <v>0.2392857142857143</v>
      </c>
      <c r="AB13" s="989">
        <f t="shared" si="5"/>
        <v>0.25714285714285712</v>
      </c>
      <c r="AC13" s="991">
        <f t="shared" si="5"/>
        <v>0.19899874843554449</v>
      </c>
      <c r="AD13" s="991">
        <f t="shared" si="5"/>
        <v>0.20143884892086331</v>
      </c>
      <c r="AE13" s="989">
        <f t="shared" si="5"/>
        <v>0.26907630522088355</v>
      </c>
      <c r="AF13" s="992">
        <f>AF12/AF10</f>
        <v>0.28915662650602408</v>
      </c>
      <c r="AG13" s="993">
        <f>'FEV '!AG13</f>
        <v>0.29199999999999998</v>
      </c>
      <c r="AH13" s="832"/>
      <c r="AI13" s="946"/>
      <c r="AJ13" s="946"/>
      <c r="AK13" s="747"/>
    </row>
    <row r="14" spans="1:39" ht="15" x14ac:dyDescent="0.25">
      <c r="A14" s="261"/>
      <c r="B14" s="171"/>
      <c r="C14" s="171"/>
      <c r="D14" s="171"/>
      <c r="E14" s="171"/>
      <c r="F14" s="171"/>
      <c r="G14" s="171"/>
      <c r="H14" s="171"/>
      <c r="I14" s="171"/>
      <c r="J14" s="171"/>
      <c r="K14" s="361"/>
      <c r="L14" s="388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8"/>
      <c r="X14" s="177"/>
      <c r="Y14" s="178"/>
      <c r="Z14" s="179"/>
      <c r="AA14" s="178"/>
      <c r="AB14" s="178"/>
      <c r="AC14" s="187"/>
      <c r="AD14" s="187"/>
      <c r="AE14" s="178"/>
      <c r="AF14" s="936"/>
      <c r="AG14" s="833"/>
      <c r="AH14" s="833"/>
      <c r="AI14" s="947"/>
      <c r="AJ14" s="947"/>
      <c r="AK14" s="475"/>
    </row>
    <row r="15" spans="1:39" ht="15" x14ac:dyDescent="0.25">
      <c r="A15" s="954" t="s">
        <v>202</v>
      </c>
      <c r="B15" s="188"/>
      <c r="C15" s="189"/>
      <c r="D15" s="190"/>
      <c r="E15" s="190"/>
      <c r="F15" s="190"/>
      <c r="G15" s="190"/>
      <c r="H15" s="190"/>
      <c r="I15" s="190"/>
      <c r="J15" s="190"/>
      <c r="K15" s="363"/>
      <c r="L15" s="389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1"/>
      <c r="Y15" s="190"/>
      <c r="Z15" s="190"/>
      <c r="AA15" s="190"/>
      <c r="AB15" s="176"/>
      <c r="AC15" s="178"/>
      <c r="AD15" s="178"/>
      <c r="AE15" s="176"/>
      <c r="AF15" s="934"/>
      <c r="AG15" s="784"/>
      <c r="AH15" s="784"/>
      <c r="AI15" s="878"/>
      <c r="AJ15" s="878"/>
      <c r="AK15" s="475"/>
    </row>
    <row r="16" spans="1:39" ht="15" x14ac:dyDescent="0.25">
      <c r="A16" s="910" t="s">
        <v>191</v>
      </c>
      <c r="B16" s="192"/>
      <c r="C16" s="192"/>
      <c r="D16" s="192"/>
      <c r="E16" s="192"/>
      <c r="F16" s="192"/>
      <c r="G16" s="192">
        <v>376</v>
      </c>
      <c r="H16" s="192"/>
      <c r="I16" s="192"/>
      <c r="J16" s="192"/>
      <c r="K16" s="364"/>
      <c r="L16" s="390"/>
      <c r="M16" s="192"/>
      <c r="N16" s="192"/>
      <c r="O16" s="192"/>
      <c r="P16" s="192"/>
      <c r="Q16" s="192"/>
      <c r="R16" s="192"/>
      <c r="S16" s="192"/>
      <c r="T16" s="192">
        <v>155</v>
      </c>
      <c r="U16" s="192">
        <v>169</v>
      </c>
      <c r="V16" s="192">
        <v>188</v>
      </c>
      <c r="W16" s="192"/>
      <c r="X16" s="193"/>
      <c r="Y16" s="192"/>
      <c r="Z16" s="192">
        <v>161</v>
      </c>
      <c r="AA16" s="192"/>
      <c r="AB16" s="183"/>
      <c r="AC16" s="185"/>
      <c r="AD16" s="185"/>
      <c r="AE16" s="183"/>
      <c r="AF16" s="935"/>
      <c r="AG16" s="832"/>
      <c r="AH16" s="832"/>
      <c r="AI16" s="946"/>
      <c r="AJ16" s="946"/>
      <c r="AK16" s="475"/>
    </row>
    <row r="17" spans="1:41" ht="15" x14ac:dyDescent="0.25">
      <c r="A17" s="954" t="s">
        <v>29</v>
      </c>
      <c r="B17" s="194"/>
      <c r="C17" s="194"/>
      <c r="D17" s="194"/>
      <c r="E17" s="194"/>
      <c r="F17" s="194"/>
      <c r="G17" s="194">
        <v>0.9330024813895782</v>
      </c>
      <c r="H17" s="194"/>
      <c r="I17" s="194"/>
      <c r="J17" s="194"/>
      <c r="K17" s="365"/>
      <c r="L17" s="391"/>
      <c r="M17" s="194"/>
      <c r="N17" s="194"/>
      <c r="O17" s="194"/>
      <c r="P17" s="194"/>
      <c r="Q17" s="194"/>
      <c r="R17" s="194"/>
      <c r="S17" s="194"/>
      <c r="T17" s="194">
        <v>0.6431535269709544</v>
      </c>
      <c r="U17" s="194">
        <v>0.70124481327800825</v>
      </c>
      <c r="V17" s="194">
        <v>0.74015748031496065</v>
      </c>
      <c r="W17" s="194"/>
      <c r="X17" s="195"/>
      <c r="Y17" s="194"/>
      <c r="Z17" s="194">
        <v>0.57092198581560283</v>
      </c>
      <c r="AA17" s="194"/>
      <c r="AB17" s="183"/>
      <c r="AC17" s="185"/>
      <c r="AD17" s="185"/>
      <c r="AE17" s="183"/>
      <c r="AF17" s="935"/>
      <c r="AG17" s="832"/>
      <c r="AH17" s="832"/>
      <c r="AI17" s="946"/>
      <c r="AJ17" s="946"/>
      <c r="AK17" s="475"/>
      <c r="AO17" s="18"/>
    </row>
    <row r="18" spans="1:41" ht="15" x14ac:dyDescent="0.25">
      <c r="A18" s="263"/>
      <c r="B18" s="188"/>
      <c r="C18" s="196"/>
      <c r="D18" s="197"/>
      <c r="E18" s="197"/>
      <c r="F18" s="197"/>
      <c r="G18" s="197"/>
      <c r="H18" s="197"/>
      <c r="I18" s="197"/>
      <c r="J18" s="197"/>
      <c r="K18" s="366"/>
      <c r="L18" s="392"/>
      <c r="M18" s="197"/>
      <c r="N18" s="197"/>
      <c r="O18" s="197"/>
      <c r="P18" s="197"/>
      <c r="Q18" s="197"/>
      <c r="R18" s="197"/>
      <c r="S18" s="197"/>
      <c r="T18" s="197"/>
      <c r="U18" s="197"/>
      <c r="V18" s="194">
        <v>0.90384615384615385</v>
      </c>
      <c r="W18" s="194"/>
      <c r="X18" s="198"/>
      <c r="Y18" s="194"/>
      <c r="Z18" s="194">
        <v>0.75943396226415094</v>
      </c>
      <c r="AA18" s="194"/>
      <c r="AB18" s="194"/>
      <c r="AC18" s="194"/>
      <c r="AD18" s="194"/>
      <c r="AE18" s="194"/>
      <c r="AF18" s="365"/>
      <c r="AG18" s="765"/>
      <c r="AH18" s="765"/>
      <c r="AI18" s="861"/>
      <c r="AJ18" s="861"/>
      <c r="AK18" s="475"/>
    </row>
    <row r="19" spans="1:41" ht="15" x14ac:dyDescent="0.25">
      <c r="A19" s="150" t="s">
        <v>59</v>
      </c>
      <c r="B19" s="188"/>
      <c r="C19" s="196"/>
      <c r="D19" s="197"/>
      <c r="E19" s="197"/>
      <c r="F19" s="197"/>
      <c r="G19" s="197"/>
      <c r="H19" s="197"/>
      <c r="I19" s="197"/>
      <c r="J19" s="197"/>
      <c r="K19" s="366"/>
      <c r="L19" s="392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8"/>
      <c r="Y19" s="197"/>
      <c r="Z19" s="197"/>
      <c r="AA19" s="197"/>
      <c r="AB19" s="197"/>
      <c r="AC19" s="197"/>
      <c r="AD19" s="197"/>
      <c r="AE19" s="197"/>
      <c r="AF19" s="366"/>
      <c r="AG19" s="766"/>
      <c r="AH19" s="766"/>
      <c r="AI19" s="862"/>
      <c r="AJ19" s="862"/>
      <c r="AK19" s="475"/>
    </row>
    <row r="20" spans="1:41" ht="15" x14ac:dyDescent="0.25">
      <c r="A20" s="264" t="s">
        <v>2</v>
      </c>
      <c r="B20" s="199">
        <v>41</v>
      </c>
      <c r="C20" s="199">
        <v>40</v>
      </c>
      <c r="D20" s="199">
        <v>10</v>
      </c>
      <c r="E20" s="199">
        <v>18.358000000000004</v>
      </c>
      <c r="F20" s="199">
        <v>40</v>
      </c>
      <c r="G20" s="199">
        <v>41.246000000000002</v>
      </c>
      <c r="H20" s="199">
        <v>41.246000000000002</v>
      </c>
      <c r="I20" s="199">
        <v>45</v>
      </c>
      <c r="J20" s="199">
        <v>45</v>
      </c>
      <c r="K20" s="367">
        <v>45</v>
      </c>
      <c r="L20" s="393">
        <v>45</v>
      </c>
      <c r="M20" s="199">
        <v>25</v>
      </c>
      <c r="N20" s="199">
        <v>25</v>
      </c>
      <c r="O20" s="199">
        <v>25</v>
      </c>
      <c r="P20" s="199">
        <v>25</v>
      </c>
      <c r="Q20" s="200">
        <v>25</v>
      </c>
      <c r="R20" s="199">
        <v>27</v>
      </c>
      <c r="S20" s="199">
        <v>15</v>
      </c>
      <c r="T20" s="199">
        <v>15</v>
      </c>
      <c r="U20" s="199">
        <v>15</v>
      </c>
      <c r="V20" s="199">
        <v>15</v>
      </c>
      <c r="W20" s="200">
        <v>15</v>
      </c>
      <c r="X20" s="201">
        <v>26</v>
      </c>
      <c r="Y20" s="199">
        <v>19</v>
      </c>
      <c r="Z20" s="199">
        <v>19</v>
      </c>
      <c r="AA20" s="199">
        <v>19</v>
      </c>
      <c r="AB20" s="200">
        <v>19</v>
      </c>
      <c r="AC20" s="199">
        <v>71</v>
      </c>
      <c r="AD20" s="199">
        <v>71</v>
      </c>
      <c r="AE20" s="200">
        <v>43</v>
      </c>
      <c r="AF20" s="682">
        <v>43</v>
      </c>
      <c r="AG20" s="767">
        <f>'FEV '!AG20</f>
        <v>43</v>
      </c>
      <c r="AH20" s="767">
        <f>'FEV '!AH20</f>
        <v>34.367000000000004</v>
      </c>
      <c r="AI20" s="863">
        <f>AG42</f>
        <v>67</v>
      </c>
      <c r="AJ20" s="863">
        <f>'FEV '!AH42</f>
        <v>78.367000000000019</v>
      </c>
      <c r="AK20" s="475">
        <f>(AJ20-AH20)/AH20</f>
        <v>1.2802979602525681</v>
      </c>
    </row>
    <row r="21" spans="1:41" ht="15" x14ac:dyDescent="0.25">
      <c r="A21" s="149" t="s">
        <v>21</v>
      </c>
      <c r="B21" s="202">
        <v>238</v>
      </c>
      <c r="C21" s="202">
        <v>193</v>
      </c>
      <c r="D21" s="202">
        <v>280.358</v>
      </c>
      <c r="E21" s="202">
        <v>385</v>
      </c>
      <c r="F21" s="202">
        <v>436</v>
      </c>
      <c r="G21" s="202">
        <v>403</v>
      </c>
      <c r="H21" s="202">
        <v>401.07499999999999</v>
      </c>
      <c r="I21" s="202">
        <v>287.02999999999997</v>
      </c>
      <c r="J21" s="202">
        <v>285.47000000000003</v>
      </c>
      <c r="K21" s="368">
        <v>271</v>
      </c>
      <c r="L21" s="394">
        <v>269</v>
      </c>
      <c r="M21" s="202">
        <v>235</v>
      </c>
      <c r="N21" s="202">
        <v>234</v>
      </c>
      <c r="O21" s="202">
        <v>233</v>
      </c>
      <c r="P21" s="202">
        <v>233</v>
      </c>
      <c r="Q21" s="203">
        <v>229</v>
      </c>
      <c r="R21" s="202">
        <v>226.8</v>
      </c>
      <c r="S21" s="202">
        <v>225</v>
      </c>
      <c r="T21" s="202">
        <v>195</v>
      </c>
      <c r="U21" s="202">
        <v>196</v>
      </c>
      <c r="V21" s="202">
        <v>208</v>
      </c>
      <c r="W21" s="203">
        <v>200</v>
      </c>
      <c r="X21" s="204"/>
      <c r="Y21" s="202">
        <v>213</v>
      </c>
      <c r="Z21" s="202">
        <v>212</v>
      </c>
      <c r="AA21" s="202">
        <v>213</v>
      </c>
      <c r="AB21" s="203">
        <v>208</v>
      </c>
      <c r="AC21" s="202">
        <v>256</v>
      </c>
      <c r="AD21" s="202">
        <v>222</v>
      </c>
      <c r="AE21" s="205">
        <v>182</v>
      </c>
      <c r="AF21" s="937">
        <v>177</v>
      </c>
      <c r="AG21" s="834">
        <f>'FEV '!AG21</f>
        <v>177</v>
      </c>
      <c r="AH21" s="767">
        <f>'FEV '!AH21</f>
        <v>182</v>
      </c>
      <c r="AI21" s="948"/>
      <c r="AJ21" s="948">
        <f>AJ22*AJ10</f>
        <v>157.65145299999998</v>
      </c>
      <c r="AK21" s="475">
        <f>(AJ21-AH21)/AH21</f>
        <v>-0.13378322527472541</v>
      </c>
    </row>
    <row r="22" spans="1:41" ht="15" x14ac:dyDescent="0.2">
      <c r="A22" s="265" t="s">
        <v>30</v>
      </c>
      <c r="B22" s="206">
        <v>0.7755737515857456</v>
      </c>
      <c r="C22" s="206">
        <v>0.8041666666666667</v>
      </c>
      <c r="D22" s="206">
        <v>0.88162893081761007</v>
      </c>
      <c r="E22" s="206">
        <v>0.8830275229357798</v>
      </c>
      <c r="F22" s="207"/>
      <c r="G22" s="207"/>
      <c r="H22" s="206">
        <v>0.83731732776617951</v>
      </c>
      <c r="I22" s="207"/>
      <c r="J22" s="207"/>
      <c r="K22" s="369"/>
      <c r="L22" s="395">
        <v>0.7755737515857456</v>
      </c>
      <c r="M22" s="202"/>
      <c r="N22" s="209"/>
      <c r="O22" s="209">
        <v>0.75846354166666674</v>
      </c>
      <c r="P22" s="209">
        <v>0.84788937409024745</v>
      </c>
      <c r="Q22" s="208">
        <v>0.83576642335766427</v>
      </c>
      <c r="R22" s="209"/>
      <c r="S22" s="209">
        <v>0.8302583025830258</v>
      </c>
      <c r="T22" s="209">
        <v>0.8091286307053942</v>
      </c>
      <c r="U22" s="209">
        <v>0.81327800829875518</v>
      </c>
      <c r="V22" s="209">
        <v>0.81889763779527558</v>
      </c>
      <c r="W22" s="208">
        <v>0.82644628099173556</v>
      </c>
      <c r="X22" s="210"/>
      <c r="Y22" s="209">
        <v>0.76071428571428568</v>
      </c>
      <c r="Z22" s="209">
        <v>0.75177304964539005</v>
      </c>
      <c r="AA22" s="209">
        <v>0.76071428571428568</v>
      </c>
      <c r="AB22" s="208">
        <v>0.74285714285714288</v>
      </c>
      <c r="AC22" s="209">
        <v>0.80100125156445567</v>
      </c>
      <c r="AD22" s="209">
        <v>0.79856115107913672</v>
      </c>
      <c r="AE22" s="208">
        <v>0.73092369477911645</v>
      </c>
      <c r="AF22" s="938">
        <f>AF21/AF10</f>
        <v>0.71084337349397586</v>
      </c>
      <c r="AG22" s="835">
        <f>'FEV '!AG22</f>
        <v>0.70799999999999996</v>
      </c>
      <c r="AH22" s="835">
        <f>'FEV '!AH22</f>
        <v>0.70920880354136806</v>
      </c>
      <c r="AI22" s="949"/>
      <c r="AJ22" s="949">
        <v>0.71</v>
      </c>
      <c r="AK22" s="257">
        <f>(AJ22-AH22)/AH22</f>
        <v>1.1156043956041415E-3</v>
      </c>
    </row>
    <row r="23" spans="1:41" ht="15" x14ac:dyDescent="0.25">
      <c r="A23" s="266" t="s">
        <v>31</v>
      </c>
      <c r="B23" s="211"/>
      <c r="C23" s="212"/>
      <c r="D23" s="213"/>
      <c r="E23" s="213">
        <v>9</v>
      </c>
      <c r="F23" s="213"/>
      <c r="G23" s="213"/>
      <c r="H23" s="213"/>
      <c r="I23" s="213"/>
      <c r="J23" s="213"/>
      <c r="K23" s="370"/>
      <c r="L23" s="396"/>
      <c r="M23" s="215"/>
      <c r="N23" s="215"/>
      <c r="O23" s="215"/>
      <c r="P23" s="215"/>
      <c r="Q23" s="214"/>
      <c r="R23" s="215"/>
      <c r="S23" s="215"/>
      <c r="T23" s="215"/>
      <c r="U23" s="215"/>
      <c r="V23" s="216">
        <v>-10</v>
      </c>
      <c r="W23" s="217">
        <v>-15</v>
      </c>
      <c r="X23" s="218"/>
      <c r="Y23" s="216"/>
      <c r="Z23" s="216"/>
      <c r="AA23" s="216"/>
      <c r="AB23" s="202"/>
      <c r="AC23" s="216"/>
      <c r="AD23" s="216"/>
      <c r="AE23" s="216"/>
      <c r="AF23" s="939"/>
      <c r="AG23" s="836"/>
      <c r="AH23" s="836"/>
      <c r="AI23" s="950"/>
      <c r="AJ23" s="950"/>
      <c r="AK23" s="475"/>
    </row>
    <row r="24" spans="1:41" ht="15" x14ac:dyDescent="0.25">
      <c r="A24" s="150" t="s">
        <v>20</v>
      </c>
      <c r="B24" s="219">
        <v>6</v>
      </c>
      <c r="C24" s="219">
        <v>7</v>
      </c>
      <c r="D24" s="219">
        <v>3</v>
      </c>
      <c r="E24" s="219">
        <v>2</v>
      </c>
      <c r="F24" s="219">
        <v>2</v>
      </c>
      <c r="G24" s="219">
        <v>2</v>
      </c>
      <c r="H24" s="219">
        <v>4.2430000000000003</v>
      </c>
      <c r="I24" s="219">
        <v>4</v>
      </c>
      <c r="J24" s="219">
        <v>5</v>
      </c>
      <c r="K24" s="371">
        <v>5</v>
      </c>
      <c r="L24" s="397">
        <v>6</v>
      </c>
      <c r="M24" s="219">
        <v>6</v>
      </c>
      <c r="N24" s="219">
        <v>8</v>
      </c>
      <c r="O24" s="219">
        <v>11</v>
      </c>
      <c r="P24" s="219">
        <v>11</v>
      </c>
      <c r="Q24" s="220">
        <v>12</v>
      </c>
      <c r="R24" s="219">
        <v>10</v>
      </c>
      <c r="S24" s="219">
        <v>10</v>
      </c>
      <c r="T24" s="219">
        <v>12</v>
      </c>
      <c r="U24" s="219">
        <v>15</v>
      </c>
      <c r="V24" s="219">
        <v>15</v>
      </c>
      <c r="W24" s="220">
        <v>15</v>
      </c>
      <c r="X24" s="219">
        <v>0</v>
      </c>
      <c r="Y24" s="219">
        <v>15</v>
      </c>
      <c r="Z24" s="219">
        <v>18</v>
      </c>
      <c r="AA24" s="219">
        <v>14</v>
      </c>
      <c r="AB24" s="220">
        <v>13</v>
      </c>
      <c r="AC24" s="219">
        <v>10</v>
      </c>
      <c r="AD24" s="219">
        <v>10</v>
      </c>
      <c r="AE24" s="220">
        <v>15</v>
      </c>
      <c r="AF24" s="824">
        <f>AF25+AF26</f>
        <v>20</v>
      </c>
      <c r="AG24" s="824">
        <f>AG25+AG26</f>
        <v>0</v>
      </c>
      <c r="AH24" s="840">
        <f>'FEV '!AH24</f>
        <v>15</v>
      </c>
      <c r="AI24" s="824">
        <f>AI25+AI26</f>
        <v>0</v>
      </c>
      <c r="AJ24" s="824">
        <f>AJ25+AJ26</f>
        <v>15</v>
      </c>
      <c r="AK24" s="717">
        <f>(AJ24-AH24)/AH24</f>
        <v>0</v>
      </c>
    </row>
    <row r="25" spans="1:41" ht="14.25" x14ac:dyDescent="0.2">
      <c r="A25" s="266" t="s">
        <v>45</v>
      </c>
      <c r="B25" s="221">
        <v>6</v>
      </c>
      <c r="C25" s="221">
        <v>7</v>
      </c>
      <c r="D25" s="221">
        <v>2</v>
      </c>
      <c r="E25" s="174">
        <v>1.4650000000000001</v>
      </c>
      <c r="F25" s="174">
        <v>1</v>
      </c>
      <c r="G25" s="174">
        <v>1</v>
      </c>
      <c r="H25" s="174">
        <v>3.806</v>
      </c>
      <c r="I25" s="174">
        <v>3</v>
      </c>
      <c r="J25" s="174">
        <v>4</v>
      </c>
      <c r="K25" s="243">
        <v>4</v>
      </c>
      <c r="L25" s="508">
        <v>5</v>
      </c>
      <c r="M25" s="728">
        <v>5</v>
      </c>
      <c r="N25" s="728">
        <v>7</v>
      </c>
      <c r="O25" s="728">
        <v>10</v>
      </c>
      <c r="P25" s="728">
        <v>10</v>
      </c>
      <c r="Q25" s="728">
        <v>11</v>
      </c>
      <c r="R25" s="728">
        <v>9</v>
      </c>
      <c r="S25" s="728">
        <v>9</v>
      </c>
      <c r="T25" s="728">
        <v>11</v>
      </c>
      <c r="U25" s="728">
        <v>14</v>
      </c>
      <c r="V25" s="728">
        <v>14</v>
      </c>
      <c r="W25" s="728">
        <v>14</v>
      </c>
      <c r="X25" s="741"/>
      <c r="Y25" s="728">
        <v>14</v>
      </c>
      <c r="Z25" s="728">
        <v>17</v>
      </c>
      <c r="AA25" s="175">
        <v>13</v>
      </c>
      <c r="AB25" s="742">
        <v>12</v>
      </c>
      <c r="AC25" s="728">
        <v>9</v>
      </c>
      <c r="AD25" s="728">
        <v>9</v>
      </c>
      <c r="AE25" s="728">
        <v>14</v>
      </c>
      <c r="AF25" s="940">
        <v>19</v>
      </c>
      <c r="AG25" s="837"/>
      <c r="AH25" s="837">
        <f>'FEV '!AH25</f>
        <v>14</v>
      </c>
      <c r="AI25" s="951"/>
      <c r="AJ25" s="951">
        <v>14</v>
      </c>
      <c r="AK25" s="257">
        <f>(AJ25-AH25)/AH25</f>
        <v>0</v>
      </c>
    </row>
    <row r="26" spans="1:41" ht="14.25" x14ac:dyDescent="0.2">
      <c r="A26" s="266" t="s">
        <v>3</v>
      </c>
      <c r="B26" s="221">
        <v>0</v>
      </c>
      <c r="C26" s="221">
        <v>0</v>
      </c>
      <c r="D26" s="221">
        <v>1</v>
      </c>
      <c r="E26" s="174">
        <v>0.4677</v>
      </c>
      <c r="F26" s="174">
        <v>1</v>
      </c>
      <c r="G26" s="174">
        <v>1</v>
      </c>
      <c r="H26" s="174">
        <v>0.437</v>
      </c>
      <c r="I26" s="174">
        <v>1</v>
      </c>
      <c r="J26" s="174">
        <v>1</v>
      </c>
      <c r="K26" s="243">
        <v>1</v>
      </c>
      <c r="L26" s="508">
        <v>1</v>
      </c>
      <c r="M26" s="728">
        <v>1</v>
      </c>
      <c r="N26" s="728">
        <v>1</v>
      </c>
      <c r="O26" s="728">
        <v>1</v>
      </c>
      <c r="P26" s="728">
        <v>1</v>
      </c>
      <c r="Q26" s="728">
        <v>1</v>
      </c>
      <c r="R26" s="728">
        <v>1</v>
      </c>
      <c r="S26" s="728">
        <v>1</v>
      </c>
      <c r="T26" s="728">
        <v>1</v>
      </c>
      <c r="U26" s="728">
        <v>1</v>
      </c>
      <c r="V26" s="728">
        <v>1</v>
      </c>
      <c r="W26" s="728">
        <v>1</v>
      </c>
      <c r="X26" s="741"/>
      <c r="Y26" s="728">
        <v>1</v>
      </c>
      <c r="Z26" s="728">
        <v>1</v>
      </c>
      <c r="AA26" s="175">
        <v>1</v>
      </c>
      <c r="AB26" s="742">
        <v>1</v>
      </c>
      <c r="AC26" s="728">
        <v>1</v>
      </c>
      <c r="AD26" s="728">
        <v>1</v>
      </c>
      <c r="AE26" s="728">
        <v>1</v>
      </c>
      <c r="AF26" s="940">
        <v>1</v>
      </c>
      <c r="AG26" s="837"/>
      <c r="AH26" s="837">
        <f>'FEV '!AH26</f>
        <v>1</v>
      </c>
      <c r="AI26" s="951"/>
      <c r="AJ26" s="951">
        <v>1</v>
      </c>
      <c r="AK26" s="257">
        <f>(AJ26-AH26)/AH26</f>
        <v>0</v>
      </c>
    </row>
    <row r="27" spans="1:41" ht="18" customHeight="1" x14ac:dyDescent="0.25">
      <c r="A27" s="151" t="s">
        <v>4</v>
      </c>
      <c r="B27" s="223">
        <v>285</v>
      </c>
      <c r="C27" s="223">
        <v>240</v>
      </c>
      <c r="D27" s="224">
        <v>293.358</v>
      </c>
      <c r="E27" s="224">
        <v>405.29070000000002</v>
      </c>
      <c r="F27" s="224">
        <v>478</v>
      </c>
      <c r="G27" s="224">
        <v>446.24599999999998</v>
      </c>
      <c r="H27" s="224">
        <v>446.56399999999996</v>
      </c>
      <c r="I27" s="224">
        <v>336.03</v>
      </c>
      <c r="J27" s="224">
        <v>335.47</v>
      </c>
      <c r="K27" s="372">
        <v>321</v>
      </c>
      <c r="L27" s="398">
        <v>320</v>
      </c>
      <c r="M27" s="226">
        <v>266</v>
      </c>
      <c r="N27" s="226">
        <v>267</v>
      </c>
      <c r="O27" s="226">
        <v>269</v>
      </c>
      <c r="P27" s="226">
        <v>269</v>
      </c>
      <c r="Q27" s="225">
        <v>266</v>
      </c>
      <c r="R27" s="226">
        <v>263.8</v>
      </c>
      <c r="S27" s="226">
        <v>250</v>
      </c>
      <c r="T27" s="226">
        <v>222</v>
      </c>
      <c r="U27" s="226">
        <v>226</v>
      </c>
      <c r="V27" s="226">
        <v>228</v>
      </c>
      <c r="W27" s="225">
        <v>215</v>
      </c>
      <c r="X27" s="226"/>
      <c r="Y27" s="226">
        <v>247</v>
      </c>
      <c r="Z27" s="226">
        <v>249</v>
      </c>
      <c r="AA27" s="226">
        <v>246</v>
      </c>
      <c r="AB27" s="225">
        <v>240</v>
      </c>
      <c r="AC27" s="226">
        <v>337</v>
      </c>
      <c r="AD27" s="226">
        <v>303</v>
      </c>
      <c r="AE27" s="225">
        <v>240</v>
      </c>
      <c r="AF27" s="825">
        <f>AF20+AF21+AF23+AF24</f>
        <v>240</v>
      </c>
      <c r="AG27" s="825">
        <f>AG20+AG21+AG23+AG24</f>
        <v>220</v>
      </c>
      <c r="AH27" s="825">
        <f>AH20+AH21+AH23+AH24</f>
        <v>231.36700000000002</v>
      </c>
      <c r="AI27" s="825">
        <f>AI20+AI21+AI23+AI24</f>
        <v>67</v>
      </c>
      <c r="AJ27" s="825">
        <f>AJ20+AJ21+AJ23+AJ24</f>
        <v>251.01845299999999</v>
      </c>
      <c r="AK27" s="267">
        <f>(AJ27-AH27)/AH27</f>
        <v>8.4936283048144171E-2</v>
      </c>
    </row>
    <row r="28" spans="1:41" ht="14.25" x14ac:dyDescent="0.2">
      <c r="A28" s="268"/>
      <c r="B28" s="227"/>
      <c r="C28" s="227"/>
      <c r="D28" s="228"/>
      <c r="E28" s="229"/>
      <c r="F28" s="230"/>
      <c r="G28" s="230"/>
      <c r="H28" s="230"/>
      <c r="I28" s="230"/>
      <c r="J28" s="230"/>
      <c r="K28" s="373"/>
      <c r="L28" s="399"/>
      <c r="M28" s="230"/>
      <c r="N28" s="230"/>
      <c r="O28" s="230"/>
      <c r="P28" s="230"/>
      <c r="Q28" s="230"/>
      <c r="R28" s="230"/>
      <c r="S28" s="230"/>
      <c r="T28" s="230"/>
      <c r="U28" s="230"/>
      <c r="V28" s="230"/>
      <c r="W28" s="230"/>
      <c r="X28" s="231"/>
      <c r="Y28" s="230"/>
      <c r="Z28" s="230"/>
      <c r="AA28" s="230"/>
      <c r="AB28" s="230"/>
      <c r="AC28" s="230"/>
      <c r="AD28" s="230"/>
      <c r="AE28" s="230"/>
      <c r="AF28" s="373"/>
      <c r="AG28" s="373"/>
      <c r="AH28" s="373"/>
      <c r="AI28" s="373"/>
      <c r="AJ28" s="373"/>
      <c r="AK28" s="269"/>
      <c r="AL28" s="31"/>
    </row>
    <row r="29" spans="1:41" ht="18" x14ac:dyDescent="0.25">
      <c r="A29" s="253" t="s">
        <v>5</v>
      </c>
      <c r="B29" s="153"/>
      <c r="C29" s="153"/>
      <c r="D29" s="153"/>
      <c r="E29" s="153"/>
      <c r="F29" s="153"/>
      <c r="G29" s="153"/>
      <c r="H29" s="153"/>
      <c r="I29" s="153"/>
      <c r="J29" s="153"/>
      <c r="K29" s="232"/>
      <c r="L29" s="400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232"/>
      <c r="AG29" s="232"/>
      <c r="AH29" s="232"/>
      <c r="AI29" s="232"/>
      <c r="AJ29" s="232"/>
      <c r="AK29" s="270"/>
    </row>
    <row r="30" spans="1:41" s="4" customFormat="1" ht="14.25" customHeight="1" x14ac:dyDescent="0.25">
      <c r="A30" s="271"/>
      <c r="B30" s="157"/>
      <c r="C30" s="157"/>
      <c r="D30" s="157"/>
      <c r="E30" s="157"/>
      <c r="F30" s="157"/>
      <c r="G30" s="157"/>
      <c r="H30" s="157"/>
      <c r="I30" s="157"/>
      <c r="J30" s="157"/>
      <c r="K30" s="233"/>
      <c r="L30" s="401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233"/>
      <c r="AG30" s="233"/>
      <c r="AH30" s="233"/>
      <c r="AI30" s="233"/>
      <c r="AJ30" s="233"/>
      <c r="AK30" s="272"/>
    </row>
    <row r="31" spans="1:41" ht="14.25" customHeight="1" x14ac:dyDescent="0.25">
      <c r="A31" s="150" t="s">
        <v>73</v>
      </c>
      <c r="B31" s="219">
        <v>54</v>
      </c>
      <c r="C31" s="219">
        <v>24</v>
      </c>
      <c r="D31" s="219">
        <v>58</v>
      </c>
      <c r="E31" s="219">
        <v>95</v>
      </c>
      <c r="F31" s="219">
        <v>110</v>
      </c>
      <c r="G31" s="219">
        <v>68</v>
      </c>
      <c r="H31" s="219">
        <v>94.704999999999998</v>
      </c>
      <c r="I31" s="219">
        <v>76</v>
      </c>
      <c r="J31" s="219">
        <v>71</v>
      </c>
      <c r="K31" s="371">
        <v>65</v>
      </c>
      <c r="L31" s="397">
        <v>34</v>
      </c>
      <c r="M31" s="220">
        <v>32</v>
      </c>
      <c r="N31" s="220">
        <v>32</v>
      </c>
      <c r="O31" s="220">
        <v>32</v>
      </c>
      <c r="P31" s="220">
        <v>32</v>
      </c>
      <c r="Q31" s="220">
        <v>31</v>
      </c>
      <c r="R31" s="220">
        <v>32</v>
      </c>
      <c r="S31" s="220">
        <v>42</v>
      </c>
      <c r="T31" s="220">
        <v>37</v>
      </c>
      <c r="U31" s="220">
        <v>34</v>
      </c>
      <c r="V31" s="220">
        <v>37</v>
      </c>
      <c r="W31" s="220">
        <v>39</v>
      </c>
      <c r="X31" s="220">
        <v>0</v>
      </c>
      <c r="Y31" s="220">
        <v>40</v>
      </c>
      <c r="Z31" s="220">
        <v>42</v>
      </c>
      <c r="AA31" s="220">
        <v>44</v>
      </c>
      <c r="AB31" s="220">
        <v>74</v>
      </c>
      <c r="AC31" s="220">
        <v>50</v>
      </c>
      <c r="AD31" s="220">
        <v>50</v>
      </c>
      <c r="AE31" s="220">
        <v>78</v>
      </c>
      <c r="AF31" s="840">
        <f>AF32+AF33+AF34+AF35</f>
        <v>58</v>
      </c>
      <c r="AG31" s="840">
        <f>AG32+AG33+AG34+AG35</f>
        <v>58</v>
      </c>
      <c r="AH31" s="840">
        <f>AH32+AH33+AH34+AH35</f>
        <v>58</v>
      </c>
      <c r="AI31" s="840">
        <f>AI32+AI33+AI34+AI35</f>
        <v>0</v>
      </c>
      <c r="AJ31" s="840">
        <f>AJ32+AJ33+AJ34+AJ35</f>
        <v>58</v>
      </c>
      <c r="AK31" s="717">
        <f>(AJ31-AH31)/AH31</f>
        <v>0</v>
      </c>
    </row>
    <row r="32" spans="1:41" ht="16.5" x14ac:dyDescent="0.2">
      <c r="A32" s="148" t="s">
        <v>188</v>
      </c>
      <c r="B32" s="174">
        <v>20</v>
      </c>
      <c r="C32" s="174">
        <v>7</v>
      </c>
      <c r="D32" s="174">
        <v>12</v>
      </c>
      <c r="E32" s="174">
        <v>33.670999999999999</v>
      </c>
      <c r="F32" s="174">
        <v>60</v>
      </c>
      <c r="G32" s="174">
        <v>25</v>
      </c>
      <c r="H32" s="174">
        <v>21.704999999999998</v>
      </c>
      <c r="I32" s="174">
        <v>20</v>
      </c>
      <c r="J32" s="174">
        <v>15</v>
      </c>
      <c r="K32" s="243">
        <v>15</v>
      </c>
      <c r="L32" s="386">
        <v>12</v>
      </c>
      <c r="M32" s="174">
        <v>10</v>
      </c>
      <c r="N32" s="174">
        <v>10</v>
      </c>
      <c r="O32" s="174">
        <v>10</v>
      </c>
      <c r="P32" s="174">
        <v>10</v>
      </c>
      <c r="Q32" s="175">
        <v>9</v>
      </c>
      <c r="R32" s="174">
        <v>10</v>
      </c>
      <c r="S32" s="174">
        <v>20</v>
      </c>
      <c r="T32" s="174">
        <v>15</v>
      </c>
      <c r="U32" s="174">
        <v>12</v>
      </c>
      <c r="V32" s="174">
        <v>10</v>
      </c>
      <c r="W32" s="175">
        <v>10</v>
      </c>
      <c r="X32" s="174"/>
      <c r="Y32" s="174">
        <v>10</v>
      </c>
      <c r="Z32" s="174">
        <v>12</v>
      </c>
      <c r="AA32" s="174">
        <v>14</v>
      </c>
      <c r="AB32" s="175">
        <v>14</v>
      </c>
      <c r="AC32" s="174">
        <v>20</v>
      </c>
      <c r="AD32" s="174">
        <v>20</v>
      </c>
      <c r="AE32" s="175">
        <v>50</v>
      </c>
      <c r="AF32" s="679">
        <v>30</v>
      </c>
      <c r="AG32" s="761">
        <f>'FEV '!AG32</f>
        <v>30</v>
      </c>
      <c r="AH32" s="761">
        <f>'FEV '!AH32</f>
        <v>30</v>
      </c>
      <c r="AI32" s="865"/>
      <c r="AJ32" s="865">
        <v>30</v>
      </c>
      <c r="AK32" s="273">
        <f>(AJ32-AH32)/AH32</f>
        <v>0</v>
      </c>
    </row>
    <row r="33" spans="1:37" ht="16.5" x14ac:dyDescent="0.2">
      <c r="A33" s="148" t="s">
        <v>185</v>
      </c>
      <c r="B33" s="174">
        <v>9</v>
      </c>
      <c r="C33" s="174">
        <v>5</v>
      </c>
      <c r="D33" s="174">
        <v>31</v>
      </c>
      <c r="E33" s="174">
        <v>43</v>
      </c>
      <c r="F33" s="174">
        <v>30</v>
      </c>
      <c r="G33" s="174">
        <v>25</v>
      </c>
      <c r="H33" s="174">
        <v>55</v>
      </c>
      <c r="I33" s="174">
        <v>40</v>
      </c>
      <c r="J33" s="174">
        <v>40</v>
      </c>
      <c r="K33" s="243">
        <v>35</v>
      </c>
      <c r="L33" s="386">
        <v>5</v>
      </c>
      <c r="M33" s="174">
        <v>5</v>
      </c>
      <c r="N33" s="174">
        <v>5</v>
      </c>
      <c r="O33" s="174">
        <v>5</v>
      </c>
      <c r="P33" s="174">
        <v>5</v>
      </c>
      <c r="Q33" s="175">
        <v>5</v>
      </c>
      <c r="R33" s="174">
        <v>5</v>
      </c>
      <c r="S33" s="174">
        <v>5</v>
      </c>
      <c r="T33" s="174">
        <v>5</v>
      </c>
      <c r="U33" s="174">
        <v>5</v>
      </c>
      <c r="V33" s="174">
        <v>10</v>
      </c>
      <c r="W33" s="175">
        <v>10</v>
      </c>
      <c r="X33" s="174"/>
      <c r="Y33" s="174">
        <v>10</v>
      </c>
      <c r="Z33" s="174">
        <v>10</v>
      </c>
      <c r="AA33" s="174">
        <v>10</v>
      </c>
      <c r="AB33" s="175">
        <v>40</v>
      </c>
      <c r="AC33" s="174">
        <v>10</v>
      </c>
      <c r="AD33" s="174">
        <v>10</v>
      </c>
      <c r="AE33" s="175">
        <v>10</v>
      </c>
      <c r="AF33" s="679">
        <v>10</v>
      </c>
      <c r="AG33" s="761">
        <f>'FEV '!AG33</f>
        <v>10</v>
      </c>
      <c r="AH33" s="761">
        <f>'FEV '!AH33</f>
        <v>10</v>
      </c>
      <c r="AI33" s="865"/>
      <c r="AJ33" s="865">
        <v>10</v>
      </c>
      <c r="AK33" s="273">
        <f>(AJ33-AH33)/AH33</f>
        <v>0</v>
      </c>
    </row>
    <row r="34" spans="1:37" ht="14.25" x14ac:dyDescent="0.2">
      <c r="A34" s="148" t="s">
        <v>17</v>
      </c>
      <c r="B34" s="174">
        <v>13</v>
      </c>
      <c r="C34" s="174">
        <v>6</v>
      </c>
      <c r="D34" s="174">
        <v>7</v>
      </c>
      <c r="E34" s="174">
        <v>8</v>
      </c>
      <c r="F34" s="174">
        <v>10</v>
      </c>
      <c r="G34" s="174">
        <v>10</v>
      </c>
      <c r="H34" s="174">
        <v>10</v>
      </c>
      <c r="I34" s="174">
        <v>10</v>
      </c>
      <c r="J34" s="174">
        <v>10</v>
      </c>
      <c r="K34" s="243">
        <v>10</v>
      </c>
      <c r="L34" s="386">
        <v>10</v>
      </c>
      <c r="M34" s="174">
        <v>10</v>
      </c>
      <c r="N34" s="174">
        <v>10</v>
      </c>
      <c r="O34" s="174">
        <v>10</v>
      </c>
      <c r="P34" s="174">
        <v>10</v>
      </c>
      <c r="Q34" s="175">
        <v>10</v>
      </c>
      <c r="R34" s="174">
        <v>10</v>
      </c>
      <c r="S34" s="174">
        <v>10</v>
      </c>
      <c r="T34" s="174">
        <v>10</v>
      </c>
      <c r="U34" s="174">
        <v>10</v>
      </c>
      <c r="V34" s="174">
        <v>10</v>
      </c>
      <c r="W34" s="175">
        <v>10</v>
      </c>
      <c r="X34" s="174"/>
      <c r="Y34" s="174">
        <v>10</v>
      </c>
      <c r="Z34" s="174">
        <v>10</v>
      </c>
      <c r="AA34" s="174">
        <v>10</v>
      </c>
      <c r="AB34" s="175">
        <v>10</v>
      </c>
      <c r="AC34" s="174">
        <v>10</v>
      </c>
      <c r="AD34" s="174">
        <v>10</v>
      </c>
      <c r="AE34" s="175">
        <v>10</v>
      </c>
      <c r="AF34" s="679">
        <v>10</v>
      </c>
      <c r="AG34" s="761">
        <f>'FEV '!AG34</f>
        <v>10</v>
      </c>
      <c r="AH34" s="761">
        <f>'FEV '!AH34</f>
        <v>10</v>
      </c>
      <c r="AI34" s="865"/>
      <c r="AJ34" s="865">
        <v>10</v>
      </c>
      <c r="AK34" s="273"/>
    </row>
    <row r="35" spans="1:37" ht="14.25" x14ac:dyDescent="0.2">
      <c r="A35" s="148" t="s">
        <v>7</v>
      </c>
      <c r="B35" s="174">
        <v>12</v>
      </c>
      <c r="C35" s="174">
        <v>6</v>
      </c>
      <c r="D35" s="174">
        <v>8</v>
      </c>
      <c r="E35" s="174">
        <v>10</v>
      </c>
      <c r="F35" s="174">
        <v>10</v>
      </c>
      <c r="G35" s="174">
        <v>8</v>
      </c>
      <c r="H35" s="174">
        <v>8</v>
      </c>
      <c r="I35" s="174">
        <v>6</v>
      </c>
      <c r="J35" s="174">
        <v>6</v>
      </c>
      <c r="K35" s="243">
        <v>5</v>
      </c>
      <c r="L35" s="386">
        <v>7</v>
      </c>
      <c r="M35" s="174">
        <v>7</v>
      </c>
      <c r="N35" s="174">
        <v>7</v>
      </c>
      <c r="O35" s="174">
        <v>7</v>
      </c>
      <c r="P35" s="174">
        <v>7</v>
      </c>
      <c r="Q35" s="175">
        <v>7</v>
      </c>
      <c r="R35" s="174">
        <v>7</v>
      </c>
      <c r="S35" s="174">
        <v>7</v>
      </c>
      <c r="T35" s="174">
        <v>7</v>
      </c>
      <c r="U35" s="174">
        <v>7</v>
      </c>
      <c r="V35" s="174">
        <v>7</v>
      </c>
      <c r="W35" s="175">
        <v>9</v>
      </c>
      <c r="X35" s="174"/>
      <c r="Y35" s="174">
        <v>10</v>
      </c>
      <c r="Z35" s="174">
        <v>10</v>
      </c>
      <c r="AA35" s="174">
        <v>10</v>
      </c>
      <c r="AB35" s="175">
        <v>10</v>
      </c>
      <c r="AC35" s="174">
        <v>10</v>
      </c>
      <c r="AD35" s="174">
        <v>10</v>
      </c>
      <c r="AE35" s="175">
        <v>8</v>
      </c>
      <c r="AF35" s="679">
        <v>8</v>
      </c>
      <c r="AG35" s="761">
        <f>'FEV '!AG35</f>
        <v>8</v>
      </c>
      <c r="AH35" s="761">
        <f>'FEV '!AH35</f>
        <v>8</v>
      </c>
      <c r="AI35" s="865"/>
      <c r="AJ35" s="865">
        <v>8</v>
      </c>
      <c r="AK35" s="273">
        <f>(AJ35-AH35)/AH35</f>
        <v>0</v>
      </c>
    </row>
    <row r="36" spans="1:37" ht="15" x14ac:dyDescent="0.25">
      <c r="A36" s="149"/>
      <c r="B36" s="174"/>
      <c r="C36" s="174"/>
      <c r="D36" s="174"/>
      <c r="E36" s="174"/>
      <c r="F36" s="174"/>
      <c r="G36" s="174"/>
      <c r="H36" s="174"/>
      <c r="I36" s="174"/>
      <c r="J36" s="174"/>
      <c r="K36" s="243"/>
      <c r="L36" s="388"/>
      <c r="M36" s="174"/>
      <c r="N36" s="174"/>
      <c r="O36" s="174"/>
      <c r="P36" s="174"/>
      <c r="Q36" s="175"/>
      <c r="R36" s="174"/>
      <c r="S36" s="174"/>
      <c r="T36" s="174"/>
      <c r="U36" s="174"/>
      <c r="V36" s="174"/>
      <c r="W36" s="175"/>
      <c r="X36" s="174"/>
      <c r="Y36" s="174"/>
      <c r="Z36" s="174"/>
      <c r="AA36" s="174"/>
      <c r="AB36" s="175"/>
      <c r="AC36" s="174"/>
      <c r="AD36" s="174"/>
      <c r="AE36" s="175"/>
      <c r="AF36" s="679"/>
      <c r="AG36" s="761"/>
      <c r="AH36" s="761">
        <f>'FEV '!AH36</f>
        <v>0</v>
      </c>
      <c r="AI36" s="865"/>
      <c r="AJ36" s="865"/>
      <c r="AK36" s="657"/>
    </row>
    <row r="37" spans="1:37" ht="15" x14ac:dyDescent="0.25">
      <c r="A37" s="150" t="s">
        <v>9</v>
      </c>
      <c r="B37" s="219">
        <v>191</v>
      </c>
      <c r="C37" s="219">
        <v>206</v>
      </c>
      <c r="D37" s="219">
        <v>217</v>
      </c>
      <c r="E37" s="219">
        <v>277</v>
      </c>
      <c r="F37" s="219">
        <v>310</v>
      </c>
      <c r="G37" s="219">
        <v>335</v>
      </c>
      <c r="H37" s="219">
        <v>306.57599999999996</v>
      </c>
      <c r="I37" s="219">
        <v>220</v>
      </c>
      <c r="J37" s="219">
        <v>210</v>
      </c>
      <c r="K37" s="371">
        <v>225</v>
      </c>
      <c r="L37" s="397">
        <v>261</v>
      </c>
      <c r="M37" s="220">
        <v>210</v>
      </c>
      <c r="N37" s="220">
        <v>210</v>
      </c>
      <c r="O37" s="220">
        <v>215</v>
      </c>
      <c r="P37" s="220">
        <v>210</v>
      </c>
      <c r="Q37" s="220">
        <v>220</v>
      </c>
      <c r="R37" s="220">
        <v>210</v>
      </c>
      <c r="S37" s="220">
        <v>180</v>
      </c>
      <c r="T37" s="220">
        <v>160</v>
      </c>
      <c r="U37" s="220">
        <v>160</v>
      </c>
      <c r="V37" s="220">
        <v>165</v>
      </c>
      <c r="W37" s="220">
        <v>157</v>
      </c>
      <c r="X37" s="220">
        <v>0</v>
      </c>
      <c r="Y37" s="220">
        <v>175</v>
      </c>
      <c r="Z37" s="220">
        <v>160</v>
      </c>
      <c r="AA37" s="220">
        <v>131</v>
      </c>
      <c r="AB37" s="220">
        <v>123</v>
      </c>
      <c r="AC37" s="220">
        <v>210</v>
      </c>
      <c r="AD37" s="220">
        <v>170</v>
      </c>
      <c r="AE37" s="220">
        <v>110</v>
      </c>
      <c r="AF37" s="840">
        <f>AF38+AF39</f>
        <v>100</v>
      </c>
      <c r="AG37" s="840">
        <f>AG38+AG39</f>
        <v>95</v>
      </c>
      <c r="AH37" s="840">
        <f>AH38+AH39</f>
        <v>95</v>
      </c>
      <c r="AI37" s="840">
        <f>AI38+AI39</f>
        <v>0</v>
      </c>
      <c r="AJ37" s="840">
        <f>AJ38+AJ39</f>
        <v>75</v>
      </c>
      <c r="AK37" s="717">
        <f>(AJ37-AH37)/AH37</f>
        <v>-0.21052631578947367</v>
      </c>
    </row>
    <row r="38" spans="1:37" ht="14.25" x14ac:dyDescent="0.2">
      <c r="A38" s="148" t="s">
        <v>10</v>
      </c>
      <c r="B38" s="174">
        <v>49</v>
      </c>
      <c r="C38" s="174">
        <v>25</v>
      </c>
      <c r="D38" s="174">
        <v>18</v>
      </c>
      <c r="E38" s="174">
        <v>19</v>
      </c>
      <c r="F38" s="174">
        <v>50</v>
      </c>
      <c r="G38" s="174">
        <v>35</v>
      </c>
      <c r="H38" s="174">
        <v>34.433</v>
      </c>
      <c r="I38" s="174">
        <v>20</v>
      </c>
      <c r="J38" s="174">
        <v>20</v>
      </c>
      <c r="K38" s="243">
        <v>25</v>
      </c>
      <c r="L38" s="386">
        <v>29</v>
      </c>
      <c r="M38" s="174">
        <v>25</v>
      </c>
      <c r="N38" s="174">
        <v>20</v>
      </c>
      <c r="O38" s="174">
        <v>20</v>
      </c>
      <c r="P38" s="174">
        <v>25</v>
      </c>
      <c r="Q38" s="175">
        <v>22</v>
      </c>
      <c r="R38" s="174">
        <v>25</v>
      </c>
      <c r="S38" s="174">
        <v>20</v>
      </c>
      <c r="T38" s="174">
        <v>20</v>
      </c>
      <c r="U38" s="174">
        <v>20</v>
      </c>
      <c r="V38" s="174">
        <v>15</v>
      </c>
      <c r="W38" s="175">
        <v>14</v>
      </c>
      <c r="X38" s="174"/>
      <c r="Y38" s="174">
        <v>15</v>
      </c>
      <c r="Z38" s="174">
        <v>10</v>
      </c>
      <c r="AA38" s="174">
        <v>11</v>
      </c>
      <c r="AB38" s="175">
        <v>11</v>
      </c>
      <c r="AC38" s="174">
        <v>10</v>
      </c>
      <c r="AD38" s="174">
        <v>20</v>
      </c>
      <c r="AE38" s="175">
        <v>40</v>
      </c>
      <c r="AF38" s="679">
        <v>25</v>
      </c>
      <c r="AG38" s="761">
        <f>'FEV '!AG38</f>
        <v>15</v>
      </c>
      <c r="AH38" s="761">
        <f>'FEV '!AH38</f>
        <v>15</v>
      </c>
      <c r="AI38" s="865"/>
      <c r="AJ38" s="865">
        <v>15</v>
      </c>
      <c r="AK38" s="273">
        <f>(AJ38-AH38)/AH38</f>
        <v>0</v>
      </c>
    </row>
    <row r="39" spans="1:37" ht="14.25" x14ac:dyDescent="0.2">
      <c r="A39" s="148" t="s">
        <v>3</v>
      </c>
      <c r="B39" s="174">
        <v>142</v>
      </c>
      <c r="C39" s="174">
        <v>181</v>
      </c>
      <c r="D39" s="174">
        <v>199</v>
      </c>
      <c r="E39" s="174">
        <v>258</v>
      </c>
      <c r="F39" s="174">
        <v>260</v>
      </c>
      <c r="G39" s="174">
        <v>300</v>
      </c>
      <c r="H39" s="174">
        <v>272.14299999999997</v>
      </c>
      <c r="I39" s="174">
        <v>200</v>
      </c>
      <c r="J39" s="174">
        <v>190</v>
      </c>
      <c r="K39" s="243">
        <v>200</v>
      </c>
      <c r="L39" s="386">
        <v>232</v>
      </c>
      <c r="M39" s="174">
        <v>185</v>
      </c>
      <c r="N39" s="174">
        <v>190</v>
      </c>
      <c r="O39" s="174">
        <v>195</v>
      </c>
      <c r="P39" s="174">
        <v>185</v>
      </c>
      <c r="Q39" s="175">
        <v>198</v>
      </c>
      <c r="R39" s="174">
        <v>185</v>
      </c>
      <c r="S39" s="174">
        <v>160</v>
      </c>
      <c r="T39" s="174">
        <v>140</v>
      </c>
      <c r="U39" s="174">
        <v>140</v>
      </c>
      <c r="V39" s="174">
        <v>150</v>
      </c>
      <c r="W39" s="175">
        <v>143</v>
      </c>
      <c r="X39" s="174"/>
      <c r="Y39" s="174">
        <v>160</v>
      </c>
      <c r="Z39" s="174">
        <v>150</v>
      </c>
      <c r="AA39" s="174">
        <v>120</v>
      </c>
      <c r="AB39" s="175">
        <v>112</v>
      </c>
      <c r="AC39" s="174">
        <v>200</v>
      </c>
      <c r="AD39" s="174">
        <v>150</v>
      </c>
      <c r="AE39" s="175">
        <v>70</v>
      </c>
      <c r="AF39" s="679">
        <v>75</v>
      </c>
      <c r="AG39" s="761">
        <f>'FEV '!AG39</f>
        <v>80</v>
      </c>
      <c r="AH39" s="761">
        <f>'FEV '!AH39</f>
        <v>80</v>
      </c>
      <c r="AI39" s="865"/>
      <c r="AJ39" s="865">
        <v>60</v>
      </c>
      <c r="AK39" s="273">
        <f>(AJ39-AH39)/AH39</f>
        <v>-0.25</v>
      </c>
    </row>
    <row r="40" spans="1:37" ht="18" customHeight="1" x14ac:dyDescent="0.25">
      <c r="A40" s="151" t="s">
        <v>74</v>
      </c>
      <c r="B40" s="234">
        <v>245</v>
      </c>
      <c r="C40" s="234">
        <v>230</v>
      </c>
      <c r="D40" s="234">
        <v>275</v>
      </c>
      <c r="E40" s="234">
        <v>372</v>
      </c>
      <c r="F40" s="234">
        <v>420</v>
      </c>
      <c r="G40" s="234">
        <v>403</v>
      </c>
      <c r="H40" s="234">
        <v>401.28099999999995</v>
      </c>
      <c r="I40" s="234">
        <v>296</v>
      </c>
      <c r="J40" s="234">
        <v>281</v>
      </c>
      <c r="K40" s="374">
        <v>290</v>
      </c>
      <c r="L40" s="402">
        <v>295</v>
      </c>
      <c r="M40" s="234">
        <v>242</v>
      </c>
      <c r="N40" s="234">
        <v>242</v>
      </c>
      <c r="O40" s="234">
        <v>247</v>
      </c>
      <c r="P40" s="234">
        <v>242</v>
      </c>
      <c r="Q40" s="235">
        <v>251</v>
      </c>
      <c r="R40" s="234">
        <v>242</v>
      </c>
      <c r="S40" s="234">
        <v>222</v>
      </c>
      <c r="T40" s="234">
        <v>197</v>
      </c>
      <c r="U40" s="234">
        <v>194</v>
      </c>
      <c r="V40" s="234">
        <v>202</v>
      </c>
      <c r="W40" s="235">
        <v>196</v>
      </c>
      <c r="X40" s="234">
        <v>0</v>
      </c>
      <c r="Y40" s="234">
        <v>215</v>
      </c>
      <c r="Z40" s="234">
        <v>202</v>
      </c>
      <c r="AA40" s="234">
        <v>175</v>
      </c>
      <c r="AB40" s="235">
        <v>197</v>
      </c>
      <c r="AC40" s="234">
        <v>260</v>
      </c>
      <c r="AD40" s="234">
        <v>220</v>
      </c>
      <c r="AE40" s="235">
        <v>188</v>
      </c>
      <c r="AF40" s="826">
        <f>AF31+AF37</f>
        <v>158</v>
      </c>
      <c r="AG40" s="826">
        <f>AG31+AG37</f>
        <v>153</v>
      </c>
      <c r="AH40" s="826">
        <f>AH31+AH37</f>
        <v>153</v>
      </c>
      <c r="AI40" s="826">
        <f>AI31+AI37</f>
        <v>0</v>
      </c>
      <c r="AJ40" s="826">
        <f>AJ31+AJ37</f>
        <v>133</v>
      </c>
      <c r="AK40" s="716">
        <f>(AJ40-AH40)/AH40</f>
        <v>-0.13071895424836602</v>
      </c>
    </row>
    <row r="41" spans="1:37" ht="14.25" x14ac:dyDescent="0.2">
      <c r="A41" s="152"/>
      <c r="B41" s="236"/>
      <c r="C41" s="236"/>
      <c r="D41" s="236"/>
      <c r="E41" s="237"/>
      <c r="F41" s="236"/>
      <c r="G41" s="236"/>
      <c r="H41" s="236"/>
      <c r="I41" s="236"/>
      <c r="J41" s="236"/>
      <c r="K41" s="375"/>
      <c r="L41" s="403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8"/>
      <c r="Y41" s="236"/>
      <c r="Z41" s="236"/>
      <c r="AA41" s="236"/>
      <c r="AB41" s="236"/>
      <c r="AC41" s="236"/>
      <c r="AD41" s="236"/>
      <c r="AE41" s="236"/>
      <c r="AF41" s="375"/>
      <c r="AG41" s="375"/>
      <c r="AH41" s="375"/>
      <c r="AI41" s="375"/>
      <c r="AJ41" s="375"/>
      <c r="AK41" s="274"/>
    </row>
    <row r="42" spans="1:37" ht="21" x14ac:dyDescent="0.25">
      <c r="A42" s="151" t="s">
        <v>189</v>
      </c>
      <c r="B42" s="239">
        <v>40</v>
      </c>
      <c r="C42" s="239">
        <v>10</v>
      </c>
      <c r="D42" s="239">
        <v>18.358000000000004</v>
      </c>
      <c r="E42" s="239">
        <v>41.246000000000002</v>
      </c>
      <c r="F42" s="239">
        <v>58</v>
      </c>
      <c r="G42" s="239">
        <v>43.245999999999981</v>
      </c>
      <c r="H42" s="239">
        <v>45.283000000000015</v>
      </c>
      <c r="I42" s="239">
        <v>40.03</v>
      </c>
      <c r="J42" s="239">
        <v>54.47</v>
      </c>
      <c r="K42" s="376">
        <v>31</v>
      </c>
      <c r="L42" s="404">
        <v>25</v>
      </c>
      <c r="M42" s="239">
        <v>24</v>
      </c>
      <c r="N42" s="239">
        <v>25</v>
      </c>
      <c r="O42" s="239">
        <v>22</v>
      </c>
      <c r="P42" s="239">
        <v>27</v>
      </c>
      <c r="Q42" s="240">
        <v>15</v>
      </c>
      <c r="R42" s="239">
        <v>21.8</v>
      </c>
      <c r="S42" s="239">
        <v>28</v>
      </c>
      <c r="T42" s="239">
        <v>25</v>
      </c>
      <c r="U42" s="239">
        <v>32</v>
      </c>
      <c r="V42" s="239">
        <v>26</v>
      </c>
      <c r="W42" s="240">
        <v>19</v>
      </c>
      <c r="X42" s="239">
        <v>0</v>
      </c>
      <c r="Y42" s="239">
        <v>32</v>
      </c>
      <c r="Z42" s="239">
        <v>47</v>
      </c>
      <c r="AA42" s="239">
        <v>71</v>
      </c>
      <c r="AB42" s="240">
        <v>43</v>
      </c>
      <c r="AC42" s="239">
        <v>77</v>
      </c>
      <c r="AD42" s="239">
        <v>83</v>
      </c>
      <c r="AE42" s="240">
        <v>52</v>
      </c>
      <c r="AF42" s="826">
        <f>AF27-AF40</f>
        <v>82</v>
      </c>
      <c r="AG42" s="826">
        <f>AG27-AG40</f>
        <v>67</v>
      </c>
      <c r="AH42" s="826">
        <f>AH27-AH40</f>
        <v>78.367000000000019</v>
      </c>
      <c r="AI42" s="826">
        <f>AI27-AI40</f>
        <v>67</v>
      </c>
      <c r="AJ42" s="826">
        <f>AJ27-AJ40</f>
        <v>118.01845299999999</v>
      </c>
      <c r="AK42" s="716">
        <f>(AJ42-AH42)/AH42</f>
        <v>0.50597130169586646</v>
      </c>
    </row>
    <row r="43" spans="1:37" ht="14.25" x14ac:dyDescent="0.2">
      <c r="A43" s="148" t="s">
        <v>11</v>
      </c>
      <c r="B43" s="236"/>
      <c r="C43" s="241">
        <v>9.9649999999999999</v>
      </c>
      <c r="D43" s="241">
        <v>17.510000000000002</v>
      </c>
      <c r="E43" s="242">
        <v>41.246000000000002</v>
      </c>
      <c r="F43" s="236"/>
      <c r="G43" s="236"/>
      <c r="H43" s="241">
        <v>44.991</v>
      </c>
      <c r="I43" s="236"/>
      <c r="J43" s="236"/>
      <c r="K43" s="375"/>
      <c r="L43" s="386">
        <v>22</v>
      </c>
      <c r="M43" s="174"/>
      <c r="N43" s="174"/>
      <c r="O43" s="174"/>
      <c r="P43" s="174"/>
      <c r="Q43" s="175">
        <v>12</v>
      </c>
      <c r="R43" s="174"/>
      <c r="S43" s="174"/>
      <c r="T43" s="174"/>
      <c r="U43" s="174"/>
      <c r="V43" s="174"/>
      <c r="W43" s="175">
        <v>12</v>
      </c>
      <c r="X43" s="174"/>
      <c r="Y43" s="174"/>
      <c r="Z43" s="174"/>
      <c r="AA43" s="174"/>
      <c r="AB43" s="175">
        <v>34</v>
      </c>
      <c r="AC43" s="174"/>
      <c r="AD43" s="174"/>
      <c r="AE43" s="174"/>
      <c r="AF43" s="243"/>
      <c r="AG43" s="838"/>
      <c r="AH43" s="838"/>
      <c r="AI43" s="952"/>
      <c r="AJ43" s="952"/>
      <c r="AK43" s="275"/>
    </row>
    <row r="44" spans="1:37" ht="14.25" x14ac:dyDescent="0.2">
      <c r="A44" s="710" t="s">
        <v>12</v>
      </c>
      <c r="B44" s="711"/>
      <c r="C44" s="711"/>
      <c r="D44" s="711"/>
      <c r="E44" s="712"/>
      <c r="F44" s="711"/>
      <c r="G44" s="711"/>
      <c r="H44" s="711"/>
      <c r="I44" s="711"/>
      <c r="J44" s="711"/>
      <c r="K44" s="713"/>
      <c r="L44" s="714">
        <v>1</v>
      </c>
      <c r="M44" s="244"/>
      <c r="N44" s="244"/>
      <c r="O44" s="244"/>
      <c r="P44" s="244"/>
      <c r="Q44" s="244"/>
      <c r="R44" s="244"/>
      <c r="S44" s="244"/>
      <c r="T44" s="244"/>
      <c r="U44" s="244"/>
      <c r="V44" s="244"/>
      <c r="W44" s="715">
        <v>1</v>
      </c>
      <c r="X44" s="244"/>
      <c r="Y44" s="244"/>
      <c r="Z44" s="244"/>
      <c r="AA44" s="244"/>
      <c r="AB44" s="715">
        <v>1</v>
      </c>
      <c r="AC44" s="244"/>
      <c r="AD44" s="244"/>
      <c r="AE44" s="244"/>
      <c r="AF44" s="941"/>
      <c r="AG44" s="839"/>
      <c r="AH44" s="839"/>
      <c r="AI44" s="953"/>
      <c r="AJ44" s="953"/>
      <c r="AK44" s="245"/>
    </row>
    <row r="45" spans="1:37" ht="14.25" x14ac:dyDescent="0.2">
      <c r="A45" s="707" t="s">
        <v>177</v>
      </c>
      <c r="AK45" s="17"/>
    </row>
    <row r="46" spans="1:37" ht="14.25" x14ac:dyDescent="0.2">
      <c r="A46" s="709" t="s">
        <v>184</v>
      </c>
    </row>
    <row r="47" spans="1:37" ht="14.25" x14ac:dyDescent="0.2">
      <c r="A47" s="709" t="s">
        <v>187</v>
      </c>
      <c r="AK47" s="17"/>
    </row>
    <row r="48" spans="1:37" ht="14.25" x14ac:dyDescent="0.2">
      <c r="A48" s="965" t="s">
        <v>211</v>
      </c>
      <c r="AK48" s="17"/>
    </row>
    <row r="50" spans="1:37" ht="14.25" x14ac:dyDescent="0.2">
      <c r="AK50" s="17"/>
    </row>
    <row r="51" spans="1:37" s="749" customFormat="1" ht="14.25" x14ac:dyDescent="0.2">
      <c r="A51" s="749" t="s">
        <v>46</v>
      </c>
      <c r="B51" s="750">
        <f t="shared" ref="B51:AE51" si="6">B20+B21+B24+B23-B31-B37-B42</f>
        <v>0</v>
      </c>
      <c r="C51" s="749">
        <f t="shared" si="6"/>
        <v>0</v>
      </c>
      <c r="D51" s="749">
        <f t="shared" si="6"/>
        <v>0</v>
      </c>
      <c r="E51" s="749">
        <f t="shared" si="6"/>
        <v>1.1120000000000019</v>
      </c>
      <c r="F51" s="749">
        <f t="shared" si="6"/>
        <v>0</v>
      </c>
      <c r="G51" s="749">
        <f t="shared" si="6"/>
        <v>0</v>
      </c>
      <c r="H51" s="749">
        <f t="shared" si="6"/>
        <v>0</v>
      </c>
      <c r="I51" s="749">
        <f t="shared" si="6"/>
        <v>0</v>
      </c>
      <c r="J51" s="749">
        <f t="shared" si="6"/>
        <v>0</v>
      </c>
      <c r="K51" s="749">
        <f t="shared" si="6"/>
        <v>0</v>
      </c>
      <c r="L51" s="750">
        <f t="shared" si="6"/>
        <v>0</v>
      </c>
      <c r="M51" s="749">
        <f t="shared" si="6"/>
        <v>0</v>
      </c>
      <c r="N51" s="749">
        <f t="shared" si="6"/>
        <v>0</v>
      </c>
      <c r="O51" s="749">
        <f t="shared" si="6"/>
        <v>0</v>
      </c>
      <c r="P51" s="749">
        <f t="shared" si="6"/>
        <v>0</v>
      </c>
      <c r="Q51" s="749">
        <f t="shared" si="6"/>
        <v>0</v>
      </c>
      <c r="R51" s="749">
        <f t="shared" si="6"/>
        <v>0</v>
      </c>
      <c r="S51" s="749">
        <f t="shared" si="6"/>
        <v>0</v>
      </c>
      <c r="T51" s="749">
        <f t="shared" si="6"/>
        <v>0</v>
      </c>
      <c r="U51" s="749">
        <f t="shared" si="6"/>
        <v>0</v>
      </c>
      <c r="V51" s="749">
        <f t="shared" si="6"/>
        <v>0</v>
      </c>
      <c r="W51" s="749">
        <f t="shared" si="6"/>
        <v>0</v>
      </c>
      <c r="X51" s="749">
        <f t="shared" si="6"/>
        <v>26</v>
      </c>
      <c r="Y51" s="749">
        <f t="shared" si="6"/>
        <v>0</v>
      </c>
      <c r="Z51" s="749">
        <f t="shared" si="6"/>
        <v>0</v>
      </c>
      <c r="AA51" s="749">
        <f t="shared" si="6"/>
        <v>0</v>
      </c>
      <c r="AB51" s="749">
        <f t="shared" si="6"/>
        <v>0</v>
      </c>
      <c r="AC51" s="749">
        <f t="shared" si="6"/>
        <v>0</v>
      </c>
      <c r="AD51" s="749">
        <f t="shared" si="6"/>
        <v>0</v>
      </c>
      <c r="AE51" s="749">
        <f t="shared" si="6"/>
        <v>0</v>
      </c>
      <c r="AK51" s="751"/>
    </row>
    <row r="54" spans="1:37" x14ac:dyDescent="0.2">
      <c r="AK54" t="s">
        <v>136</v>
      </c>
    </row>
  </sheetData>
  <phoneticPr fontId="3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Q53"/>
  <sheetViews>
    <sheetView topLeftCell="A7" workbookViewId="0">
      <selection activeCell="AL21" sqref="AL21"/>
    </sheetView>
  </sheetViews>
  <sheetFormatPr baseColWidth="10" defaultRowHeight="12.75" x14ac:dyDescent="0.2"/>
  <cols>
    <col min="1" max="1" width="50.7109375" customWidth="1"/>
    <col min="2" max="3" width="12.42578125" hidden="1" customWidth="1"/>
    <col min="4" max="4" width="13.28515625" hidden="1" customWidth="1"/>
    <col min="5" max="5" width="17.7109375" hidden="1" customWidth="1"/>
    <col min="6" max="7" width="13.28515625" hidden="1" customWidth="1"/>
    <col min="8" max="8" width="12.42578125" hidden="1" customWidth="1"/>
    <col min="9" max="14" width="13.28515625" hidden="1" customWidth="1"/>
    <col min="15" max="15" width="13.42578125" hidden="1" customWidth="1"/>
    <col min="16" max="16" width="13.85546875" hidden="1" customWidth="1"/>
    <col min="17" max="17" width="13.28515625" hidden="1" customWidth="1"/>
    <col min="18" max="18" width="12.42578125" hidden="1" customWidth="1"/>
    <col min="19" max="19" width="13.7109375" hidden="1" customWidth="1"/>
    <col min="20" max="20" width="13.28515625" hidden="1" customWidth="1"/>
    <col min="21" max="21" width="14.85546875" hidden="1" customWidth="1"/>
    <col min="22" max="22" width="14.42578125" hidden="1" customWidth="1"/>
    <col min="23" max="23" width="13.28515625" hidden="1" customWidth="1"/>
    <col min="24" max="24" width="12.42578125" hidden="1" customWidth="1"/>
    <col min="25" max="25" width="15.85546875" hidden="1" customWidth="1"/>
    <col min="26" max="27" width="12.42578125" hidden="1" customWidth="1"/>
    <col min="28" max="28" width="13.7109375" hidden="1" customWidth="1"/>
    <col min="29" max="29" width="13.28515625" hidden="1" customWidth="1"/>
    <col min="30" max="30" width="15.140625" hidden="1" customWidth="1"/>
    <col min="31" max="34" width="13.42578125" hidden="1" customWidth="1"/>
    <col min="35" max="35" width="13.42578125" customWidth="1"/>
    <col min="36" max="37" width="13.42578125" hidden="1" customWidth="1"/>
    <col min="38" max="38" width="13.42578125" customWidth="1"/>
    <col min="39" max="39" width="15.85546875" customWidth="1"/>
  </cols>
  <sheetData>
    <row r="1" spans="1:43" ht="78.75" customHeight="1" x14ac:dyDescent="0.2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</row>
    <row r="2" spans="1:43" ht="20.25" customHeight="1" x14ac:dyDescent="0.3">
      <c r="A2" s="579" t="s">
        <v>0</v>
      </c>
      <c r="B2" s="503" t="s">
        <v>28</v>
      </c>
      <c r="C2" s="466" t="s">
        <v>75</v>
      </c>
      <c r="D2" s="466" t="s">
        <v>76</v>
      </c>
      <c r="E2" s="583" t="s">
        <v>158</v>
      </c>
      <c r="F2" s="466" t="s">
        <v>109</v>
      </c>
      <c r="G2" s="466" t="s">
        <v>109</v>
      </c>
      <c r="H2" s="466" t="s">
        <v>159</v>
      </c>
      <c r="I2" s="466" t="s">
        <v>114</v>
      </c>
      <c r="J2" s="466" t="s">
        <v>114</v>
      </c>
      <c r="K2" s="466" t="s">
        <v>114</v>
      </c>
      <c r="L2" s="482" t="s">
        <v>114</v>
      </c>
      <c r="M2" s="503" t="s">
        <v>114</v>
      </c>
      <c r="N2" s="466" t="s">
        <v>49</v>
      </c>
      <c r="O2" s="466" t="s">
        <v>86</v>
      </c>
      <c r="P2" s="466" t="s">
        <v>49</v>
      </c>
      <c r="Q2" s="466" t="s">
        <v>49</v>
      </c>
      <c r="R2" s="466" t="s">
        <v>86</v>
      </c>
      <c r="S2" s="466" t="s">
        <v>96</v>
      </c>
      <c r="T2" s="466" t="s">
        <v>96</v>
      </c>
      <c r="U2" s="466" t="s">
        <v>96</v>
      </c>
      <c r="V2" s="466" t="s">
        <v>150</v>
      </c>
      <c r="W2" s="466" t="s">
        <v>150</v>
      </c>
      <c r="X2" s="466" t="s">
        <v>149</v>
      </c>
      <c r="Y2" s="466" t="s">
        <v>169</v>
      </c>
      <c r="Z2" s="466" t="s">
        <v>51</v>
      </c>
      <c r="AA2" s="466" t="s">
        <v>172</v>
      </c>
      <c r="AB2" s="466" t="s">
        <v>152</v>
      </c>
      <c r="AC2" s="466" t="s">
        <v>155</v>
      </c>
      <c r="AD2" s="466" t="s">
        <v>155</v>
      </c>
      <c r="AE2" s="466" t="s">
        <v>173</v>
      </c>
      <c r="AF2" s="466" t="s">
        <v>173</v>
      </c>
      <c r="AG2" s="466" t="s">
        <v>173</v>
      </c>
      <c r="AH2" s="466" t="s">
        <v>173</v>
      </c>
      <c r="AI2" s="466" t="s">
        <v>173</v>
      </c>
      <c r="AJ2" s="466" t="s">
        <v>200</v>
      </c>
      <c r="AK2" s="466" t="s">
        <v>200</v>
      </c>
      <c r="AL2" s="466" t="s">
        <v>200</v>
      </c>
      <c r="AM2" s="616" t="s">
        <v>157</v>
      </c>
    </row>
    <row r="3" spans="1:43" s="4" customFormat="1" ht="20.25" customHeight="1" x14ac:dyDescent="0.3">
      <c r="A3" s="622"/>
      <c r="B3" s="618"/>
      <c r="C3" s="635"/>
      <c r="D3" s="635"/>
      <c r="E3" s="635"/>
      <c r="F3" s="636" t="s">
        <v>110</v>
      </c>
      <c r="G3" s="636" t="s">
        <v>111</v>
      </c>
      <c r="H3" s="637"/>
      <c r="I3" s="636" t="s">
        <v>160</v>
      </c>
      <c r="J3" s="636" t="s">
        <v>161</v>
      </c>
      <c r="K3" s="636" t="s">
        <v>162</v>
      </c>
      <c r="L3" s="675" t="s">
        <v>163</v>
      </c>
      <c r="M3" s="619"/>
      <c r="N3" s="636" t="s">
        <v>164</v>
      </c>
      <c r="O3" s="636" t="s">
        <v>165</v>
      </c>
      <c r="P3" s="636" t="s">
        <v>166</v>
      </c>
      <c r="Q3" s="636" t="s">
        <v>122</v>
      </c>
      <c r="R3" s="637"/>
      <c r="S3" s="636" t="s">
        <v>90</v>
      </c>
      <c r="T3" s="636" t="s">
        <v>91</v>
      </c>
      <c r="U3" s="636" t="s">
        <v>167</v>
      </c>
      <c r="V3" s="636" t="s">
        <v>127</v>
      </c>
      <c r="W3" s="636" t="s">
        <v>168</v>
      </c>
      <c r="X3" s="637"/>
      <c r="Y3" s="636" t="s">
        <v>151</v>
      </c>
      <c r="Z3" s="636" t="s">
        <v>170</v>
      </c>
      <c r="AA3" s="636" t="s">
        <v>171</v>
      </c>
      <c r="AB3" s="672" t="s">
        <v>153</v>
      </c>
      <c r="AC3" s="636" t="s">
        <v>174</v>
      </c>
      <c r="AD3" s="636" t="s">
        <v>175</v>
      </c>
      <c r="AE3" s="672" t="s">
        <v>156</v>
      </c>
      <c r="AF3" s="672" t="s">
        <v>190</v>
      </c>
      <c r="AG3" s="672" t="s">
        <v>198</v>
      </c>
      <c r="AH3" s="672" t="s">
        <v>207</v>
      </c>
      <c r="AI3" s="672" t="s">
        <v>212</v>
      </c>
      <c r="AJ3" s="672" t="s">
        <v>198</v>
      </c>
      <c r="AK3" s="672" t="s">
        <v>207</v>
      </c>
      <c r="AL3" s="672" t="s">
        <v>212</v>
      </c>
      <c r="AM3" s="617" t="s">
        <v>201</v>
      </c>
    </row>
    <row r="4" spans="1:43" ht="20.25" customHeight="1" x14ac:dyDescent="0.2">
      <c r="A4" s="586"/>
      <c r="B4" s="559"/>
      <c r="C4" s="520"/>
      <c r="D4" s="520"/>
      <c r="E4" s="520"/>
      <c r="F4" s="520"/>
      <c r="G4" s="520"/>
      <c r="H4" s="520"/>
      <c r="I4" s="520"/>
      <c r="J4" s="520"/>
      <c r="K4" s="520"/>
      <c r="L4" s="638"/>
      <c r="M4" s="559"/>
      <c r="N4" s="520"/>
      <c r="O4" s="520"/>
      <c r="P4" s="520"/>
      <c r="Q4" s="520"/>
      <c r="R4" s="520"/>
      <c r="S4" s="520"/>
      <c r="T4" s="520"/>
      <c r="U4" s="520"/>
      <c r="V4" s="520"/>
      <c r="W4" s="520"/>
      <c r="X4" s="520"/>
      <c r="Y4" s="520"/>
      <c r="Z4" s="520"/>
      <c r="AA4" s="520"/>
      <c r="AB4" s="520"/>
      <c r="AC4" s="520"/>
      <c r="AD4" s="520"/>
      <c r="AE4" s="520"/>
      <c r="AF4" s="638"/>
      <c r="AG4" s="638"/>
      <c r="AH4" s="638"/>
      <c r="AI4" s="638"/>
      <c r="AJ4" s="638"/>
      <c r="AK4" s="638"/>
      <c r="AL4" s="638"/>
      <c r="AM4" s="568"/>
    </row>
    <row r="5" spans="1:43" ht="20.25" customHeight="1" x14ac:dyDescent="0.2">
      <c r="A5" s="586"/>
      <c r="B5" s="559"/>
      <c r="C5" s="520"/>
      <c r="D5" s="520"/>
      <c r="E5" s="520"/>
      <c r="F5" s="520"/>
      <c r="G5" s="520"/>
      <c r="H5" s="520"/>
      <c r="I5" s="520"/>
      <c r="J5" s="520"/>
      <c r="K5" s="520"/>
      <c r="L5" s="638"/>
      <c r="M5" s="559"/>
      <c r="N5" s="520"/>
      <c r="O5" s="520"/>
      <c r="P5" s="520"/>
      <c r="Q5" s="520"/>
      <c r="R5" s="520"/>
      <c r="S5" s="520"/>
      <c r="T5" s="520"/>
      <c r="U5" s="520"/>
      <c r="V5" s="520"/>
      <c r="W5" s="520"/>
      <c r="X5" s="520"/>
      <c r="Y5" s="520"/>
      <c r="Z5" s="520"/>
      <c r="AA5" s="520"/>
      <c r="AB5" s="520"/>
      <c r="AC5" s="520"/>
      <c r="AD5" s="520"/>
      <c r="AE5" s="520"/>
      <c r="AF5" s="638"/>
      <c r="AG5" s="638"/>
      <c r="AH5" s="638"/>
      <c r="AI5" s="638"/>
      <c r="AJ5" s="638"/>
      <c r="AK5" s="638"/>
      <c r="AL5" s="638"/>
      <c r="AM5" s="568"/>
    </row>
    <row r="6" spans="1:43" ht="18" customHeight="1" x14ac:dyDescent="0.25">
      <c r="A6" s="623" t="s">
        <v>1</v>
      </c>
      <c r="B6" s="639"/>
      <c r="C6" s="640"/>
      <c r="D6" s="640"/>
      <c r="E6" s="640"/>
      <c r="F6" s="640"/>
      <c r="G6" s="640"/>
      <c r="H6" s="640"/>
      <c r="I6" s="640"/>
      <c r="J6" s="640"/>
      <c r="K6" s="640"/>
      <c r="L6" s="641"/>
      <c r="M6" s="380" t="s">
        <v>54</v>
      </c>
      <c r="N6" s="640"/>
      <c r="O6" s="640"/>
      <c r="P6" s="640"/>
      <c r="Q6" s="640"/>
      <c r="R6" s="155" t="s">
        <v>54</v>
      </c>
      <c r="S6" s="640"/>
      <c r="T6" s="640"/>
      <c r="U6" s="640"/>
      <c r="V6" s="640"/>
      <c r="W6" s="640"/>
      <c r="X6" s="959" t="s">
        <v>54</v>
      </c>
      <c r="Y6" s="961"/>
      <c r="Z6" s="961"/>
      <c r="AA6" s="961"/>
      <c r="AB6" s="959" t="s">
        <v>55</v>
      </c>
      <c r="AC6" s="961"/>
      <c r="AD6" s="961"/>
      <c r="AE6" s="959" t="s">
        <v>55</v>
      </c>
      <c r="AF6" s="959" t="s">
        <v>55</v>
      </c>
      <c r="AG6" s="959" t="s">
        <v>55</v>
      </c>
      <c r="AH6" s="959"/>
      <c r="AI6" s="959"/>
      <c r="AJ6" s="959" t="s">
        <v>55</v>
      </c>
      <c r="AK6" s="962"/>
      <c r="AL6" s="962"/>
      <c r="AM6" s="654"/>
    </row>
    <row r="7" spans="1:43" ht="18" customHeight="1" x14ac:dyDescent="0.25">
      <c r="A7" s="586"/>
      <c r="B7" s="560"/>
      <c r="C7" s="521"/>
      <c r="D7" s="521"/>
      <c r="E7" s="521"/>
      <c r="F7" s="521"/>
      <c r="G7" s="521"/>
      <c r="H7" s="521"/>
      <c r="I7" s="521"/>
      <c r="J7" s="521"/>
      <c r="K7" s="521"/>
      <c r="L7" s="676"/>
      <c r="M7" s="560"/>
      <c r="N7" s="521"/>
      <c r="O7" s="521"/>
      <c r="P7" s="521"/>
      <c r="Q7" s="521"/>
      <c r="R7" s="521"/>
      <c r="S7" s="521"/>
      <c r="T7" s="521"/>
      <c r="U7" s="521"/>
      <c r="V7" s="521"/>
      <c r="W7" s="521"/>
      <c r="X7" s="521"/>
      <c r="Y7" s="521"/>
      <c r="Z7" s="521"/>
      <c r="AA7" s="521"/>
      <c r="AB7" s="521"/>
      <c r="AC7" s="521"/>
      <c r="AD7" s="521"/>
      <c r="AE7" s="521"/>
      <c r="AF7" s="676"/>
      <c r="AG7" s="759"/>
      <c r="AH7" s="1018" t="s">
        <v>210</v>
      </c>
      <c r="AI7" s="998" t="s">
        <v>210</v>
      </c>
      <c r="AJ7" s="855"/>
      <c r="AK7" s="999" t="s">
        <v>210</v>
      </c>
      <c r="AL7" s="999" t="s">
        <v>210</v>
      </c>
      <c r="AM7" s="664"/>
    </row>
    <row r="8" spans="1:43" ht="15" x14ac:dyDescent="0.25">
      <c r="A8" s="620" t="s">
        <v>57</v>
      </c>
      <c r="B8" s="505">
        <v>1408</v>
      </c>
      <c r="C8" s="423">
        <v>1619</v>
      </c>
      <c r="D8" s="423">
        <v>1438.421</v>
      </c>
      <c r="E8" s="423">
        <v>1480.771</v>
      </c>
      <c r="F8" s="423">
        <v>1457</v>
      </c>
      <c r="G8" s="423">
        <v>1465</v>
      </c>
      <c r="H8" s="423">
        <v>1465</v>
      </c>
      <c r="I8" s="423">
        <v>1549.8150000000001</v>
      </c>
      <c r="J8" s="423">
        <v>1551.08</v>
      </c>
      <c r="K8" s="423">
        <v>1551.08</v>
      </c>
      <c r="L8" s="677">
        <v>1555</v>
      </c>
      <c r="M8" s="505">
        <v>1555</v>
      </c>
      <c r="N8" s="423">
        <v>1603</v>
      </c>
      <c r="O8" s="423">
        <v>1601</v>
      </c>
      <c r="P8" s="423">
        <v>1603</v>
      </c>
      <c r="Q8" s="423">
        <v>1604</v>
      </c>
      <c r="R8" s="423">
        <v>1607</v>
      </c>
      <c r="S8" s="423">
        <v>1460</v>
      </c>
      <c r="T8" s="423">
        <v>1442</v>
      </c>
      <c r="U8" s="423">
        <v>1436</v>
      </c>
      <c r="V8" s="423">
        <v>1438</v>
      </c>
      <c r="W8" s="423">
        <v>1437</v>
      </c>
      <c r="X8" s="423">
        <v>1438</v>
      </c>
      <c r="Y8" s="423">
        <v>1531</v>
      </c>
      <c r="Z8" s="423">
        <v>1507</v>
      </c>
      <c r="AA8" s="423">
        <v>1505</v>
      </c>
      <c r="AB8" s="423">
        <v>1501</v>
      </c>
      <c r="AC8" s="423">
        <v>1471</v>
      </c>
      <c r="AD8" s="423">
        <v>1465</v>
      </c>
      <c r="AE8" s="423">
        <v>1468</v>
      </c>
      <c r="AF8" s="677">
        <v>1472</v>
      </c>
      <c r="AG8" s="760">
        <f>'CO '!AG8</f>
        <v>1477</v>
      </c>
      <c r="AH8" s="497">
        <f>'CO '!AH8</f>
        <v>1498.64</v>
      </c>
      <c r="AI8" s="760">
        <f>'CO '!AI8</f>
        <v>1506</v>
      </c>
      <c r="AJ8" s="856">
        <v>1492</v>
      </c>
      <c r="AK8" s="856">
        <v>1509</v>
      </c>
      <c r="AL8" s="856">
        <v>1521.9949999999999</v>
      </c>
      <c r="AM8" s="665">
        <f>(AL8-AI8)/AI8</f>
        <v>1.0620849933598865E-2</v>
      </c>
    </row>
    <row r="9" spans="1:43" ht="15" x14ac:dyDescent="0.25">
      <c r="A9" s="620" t="s">
        <v>58</v>
      </c>
      <c r="B9" s="506">
        <v>2.9289772727272729</v>
      </c>
      <c r="C9" s="425">
        <v>2.8616429894996913</v>
      </c>
      <c r="D9" s="425">
        <v>3.2938896192422105</v>
      </c>
      <c r="E9" s="425">
        <v>3.7931807146412244</v>
      </c>
      <c r="F9" s="425">
        <v>3.2065888812628689</v>
      </c>
      <c r="G9" s="425">
        <v>3.29</v>
      </c>
      <c r="H9" s="425">
        <v>3.2868852459016393</v>
      </c>
      <c r="I9" s="425">
        <v>3.3547158854443899</v>
      </c>
      <c r="J9" s="425">
        <v>3.4530778554297652</v>
      </c>
      <c r="K9" s="425">
        <v>3.4363153415684558</v>
      </c>
      <c r="L9" s="678">
        <v>3.44</v>
      </c>
      <c r="M9" s="842">
        <f>3.44*10</f>
        <v>34.4</v>
      </c>
      <c r="N9" s="425">
        <v>3.39</v>
      </c>
      <c r="O9" s="425">
        <v>3.38</v>
      </c>
      <c r="P9" s="425">
        <v>3.39</v>
      </c>
      <c r="Q9" s="425">
        <v>3.39</v>
      </c>
      <c r="R9" s="842">
        <f>3.39950217797138*10</f>
        <v>33.995021779713795</v>
      </c>
      <c r="S9" s="842">
        <v>3.25</v>
      </c>
      <c r="T9" s="842">
        <v>3.0339805825242721</v>
      </c>
      <c r="U9" s="842">
        <v>3.0059999999999998</v>
      </c>
      <c r="V9" s="842">
        <v>3.01</v>
      </c>
      <c r="W9" s="842">
        <v>3.01</v>
      </c>
      <c r="X9" s="842">
        <f>3.046*10</f>
        <v>30.459999999999997</v>
      </c>
      <c r="Y9" s="842">
        <v>3.39</v>
      </c>
      <c r="Z9" s="842">
        <v>3.63</v>
      </c>
      <c r="AA9" s="842">
        <v>3.66</v>
      </c>
      <c r="AB9" s="842">
        <f>3.663*10</f>
        <v>36.629999999999995</v>
      </c>
      <c r="AC9" s="842">
        <v>3.38</v>
      </c>
      <c r="AD9" s="842">
        <v>3.38</v>
      </c>
      <c r="AE9" s="842">
        <f>3.515*10</f>
        <v>35.15</v>
      </c>
      <c r="AF9" s="842">
        <f>3.555*10</f>
        <v>35.550000000000004</v>
      </c>
      <c r="AG9" s="849">
        <f>'CO '!AG9</f>
        <v>35.409614082599866</v>
      </c>
      <c r="AH9" s="497">
        <f>'CO '!AH9</f>
        <v>35.271979928468475</v>
      </c>
      <c r="AI9" s="1021">
        <f>'CO '!AI9</f>
        <v>35.421009296148739</v>
      </c>
      <c r="AJ9" s="1017">
        <v>34.18</v>
      </c>
      <c r="AK9" s="857">
        <v>32.5</v>
      </c>
      <c r="AL9" s="857">
        <f>AL10/AL8*10</f>
        <v>30.497150122043767</v>
      </c>
      <c r="AM9" s="665">
        <f>(AL9-AI9)/AI9</f>
        <v>-0.13900956725816208</v>
      </c>
      <c r="AO9" s="963"/>
      <c r="AQ9" s="1002"/>
    </row>
    <row r="10" spans="1:43" ht="15" x14ac:dyDescent="0.25">
      <c r="A10" s="620" t="s">
        <v>56</v>
      </c>
      <c r="B10" s="505">
        <v>4124</v>
      </c>
      <c r="C10" s="423">
        <v>4633</v>
      </c>
      <c r="D10" s="423">
        <v>4738</v>
      </c>
      <c r="E10" s="423">
        <v>5616.8320000000003</v>
      </c>
      <c r="F10" s="423">
        <v>4672</v>
      </c>
      <c r="G10" s="423">
        <v>4819.8500000000004</v>
      </c>
      <c r="H10" s="423">
        <v>4812</v>
      </c>
      <c r="I10" s="423">
        <v>5199.1889999999976</v>
      </c>
      <c r="J10" s="423">
        <v>5356</v>
      </c>
      <c r="K10" s="423">
        <v>5330</v>
      </c>
      <c r="L10" s="677">
        <v>5349.2</v>
      </c>
      <c r="M10" s="505">
        <v>5349.2</v>
      </c>
      <c r="N10" s="423">
        <v>5428</v>
      </c>
      <c r="O10" s="423">
        <v>5412</v>
      </c>
      <c r="P10" s="423">
        <v>5431</v>
      </c>
      <c r="Q10" s="423">
        <v>5431</v>
      </c>
      <c r="R10" s="423">
        <v>5463</v>
      </c>
      <c r="S10" s="423">
        <v>4750</v>
      </c>
      <c r="T10" s="423">
        <v>4375</v>
      </c>
      <c r="U10" s="423">
        <v>4318</v>
      </c>
      <c r="V10" s="423">
        <v>4327</v>
      </c>
      <c r="W10" s="423">
        <v>4325</v>
      </c>
      <c r="X10" s="423">
        <v>4380</v>
      </c>
      <c r="Y10" s="423">
        <v>5190.09</v>
      </c>
      <c r="Z10" s="423">
        <v>5477</v>
      </c>
      <c r="AA10" s="423">
        <v>5510</v>
      </c>
      <c r="AB10" s="423">
        <v>5498</v>
      </c>
      <c r="AC10" s="423">
        <v>4971.9799999999996</v>
      </c>
      <c r="AD10" s="423">
        <v>4951.7</v>
      </c>
      <c r="AE10" s="423">
        <v>5160</v>
      </c>
      <c r="AF10" s="677">
        <v>5233</v>
      </c>
      <c r="AG10" s="760">
        <f>'CO '!AG10</f>
        <v>5230</v>
      </c>
      <c r="AH10" s="497">
        <f>'CO '!AH10</f>
        <v>5286</v>
      </c>
      <c r="AI10" s="760">
        <f>'CO '!AI10</f>
        <v>5334.4040000000005</v>
      </c>
      <c r="AJ10" s="856">
        <f>AJ8*AJ9/10</f>
        <v>5099.6559999999999</v>
      </c>
      <c r="AK10" s="856">
        <f>(AK8*AK9)/10</f>
        <v>4904.25</v>
      </c>
      <c r="AL10" s="856">
        <v>4641.6509999999998</v>
      </c>
      <c r="AM10" s="665">
        <f>(AL10-AI10)/AI10</f>
        <v>-0.12986511707774676</v>
      </c>
    </row>
    <row r="11" spans="1:43" ht="15" x14ac:dyDescent="0.25">
      <c r="A11" s="620"/>
      <c r="B11" s="505"/>
      <c r="C11" s="423"/>
      <c r="D11" s="423"/>
      <c r="E11" s="423"/>
      <c r="F11" s="423"/>
      <c r="G11" s="423"/>
      <c r="H11" s="423"/>
      <c r="I11" s="423"/>
      <c r="J11" s="423"/>
      <c r="K11" s="423"/>
      <c r="L11" s="677"/>
      <c r="M11" s="505"/>
      <c r="N11" s="423"/>
      <c r="O11" s="423"/>
      <c r="P11" s="423"/>
      <c r="Q11" s="423"/>
      <c r="R11" s="423"/>
      <c r="S11" s="423"/>
      <c r="T11" s="423"/>
      <c r="U11" s="423"/>
      <c r="V11" s="423"/>
      <c r="W11" s="423"/>
      <c r="X11" s="423"/>
      <c r="Y11" s="423"/>
      <c r="Z11" s="423"/>
      <c r="AA11" s="423"/>
      <c r="AB11" s="423"/>
      <c r="AC11" s="423"/>
      <c r="AD11" s="423"/>
      <c r="AE11" s="423"/>
      <c r="AF11" s="677"/>
      <c r="AG11" s="760"/>
      <c r="AH11" s="497"/>
      <c r="AI11" s="760"/>
      <c r="AJ11" s="856"/>
      <c r="AK11" s="856"/>
      <c r="AL11" s="856"/>
      <c r="AM11" s="666"/>
      <c r="AP11" s="708"/>
    </row>
    <row r="12" spans="1:43" ht="15" customHeight="1" x14ac:dyDescent="0.25">
      <c r="A12" s="977" t="s">
        <v>60</v>
      </c>
      <c r="B12" s="386">
        <f t="shared" ref="B12:AE12" si="0">B10-B21</f>
        <v>122</v>
      </c>
      <c r="C12" s="175">
        <f t="shared" si="0"/>
        <v>137</v>
      </c>
      <c r="D12" s="175">
        <f t="shared" si="0"/>
        <v>249</v>
      </c>
      <c r="E12" s="175">
        <f t="shared" si="0"/>
        <v>152.83200000000033</v>
      </c>
      <c r="F12" s="175">
        <f t="shared" si="0"/>
        <v>142</v>
      </c>
      <c r="G12" s="175">
        <f t="shared" si="0"/>
        <v>100</v>
      </c>
      <c r="H12" s="175">
        <f t="shared" si="0"/>
        <v>98</v>
      </c>
      <c r="I12" s="175">
        <f t="shared" si="0"/>
        <v>164.78899999999794</v>
      </c>
      <c r="J12" s="175">
        <f t="shared" si="0"/>
        <v>179.60000000000036</v>
      </c>
      <c r="K12" s="175">
        <f t="shared" si="0"/>
        <v>67</v>
      </c>
      <c r="L12" s="679">
        <f t="shared" si="0"/>
        <v>24.199999999999818</v>
      </c>
      <c r="M12" s="386">
        <f t="shared" si="0"/>
        <v>61.199999999999818</v>
      </c>
      <c r="N12" s="175">
        <f t="shared" si="0"/>
        <v>78</v>
      </c>
      <c r="O12" s="175">
        <f t="shared" si="0"/>
        <v>102</v>
      </c>
      <c r="P12" s="175">
        <f t="shared" si="0"/>
        <v>166</v>
      </c>
      <c r="Q12" s="175">
        <f t="shared" si="0"/>
        <v>112</v>
      </c>
      <c r="R12" s="175">
        <f t="shared" si="0"/>
        <v>100</v>
      </c>
      <c r="S12" s="175">
        <f t="shared" si="0"/>
        <v>95</v>
      </c>
      <c r="T12" s="175">
        <f t="shared" si="0"/>
        <v>120</v>
      </c>
      <c r="U12" s="175">
        <f t="shared" si="0"/>
        <v>140</v>
      </c>
      <c r="V12" s="175">
        <f t="shared" si="0"/>
        <v>199</v>
      </c>
      <c r="W12" s="175">
        <f t="shared" si="0"/>
        <v>89</v>
      </c>
      <c r="X12" s="175">
        <f t="shared" si="0"/>
        <v>67</v>
      </c>
      <c r="Y12" s="175">
        <f t="shared" si="0"/>
        <v>104.09000000000015</v>
      </c>
      <c r="Z12" s="175">
        <f t="shared" si="0"/>
        <v>131</v>
      </c>
      <c r="AA12" s="175">
        <f t="shared" si="0"/>
        <v>138</v>
      </c>
      <c r="AB12" s="175">
        <f t="shared" si="0"/>
        <v>98</v>
      </c>
      <c r="AC12" s="175">
        <f t="shared" si="0"/>
        <v>99.4395999999997</v>
      </c>
      <c r="AD12" s="175">
        <f t="shared" si="0"/>
        <v>99.033999999999651</v>
      </c>
      <c r="AE12" s="175">
        <f t="shared" si="0"/>
        <v>212</v>
      </c>
      <c r="AF12" s="687">
        <f>AF10-AF21</f>
        <v>179</v>
      </c>
      <c r="AG12" s="764">
        <f>'CO '!AG12</f>
        <v>149</v>
      </c>
      <c r="AH12" s="497">
        <f>'CO '!AH12</f>
        <v>131</v>
      </c>
      <c r="AI12" s="964"/>
      <c r="AJ12" s="858"/>
      <c r="AK12" s="858"/>
      <c r="AL12" s="858"/>
      <c r="AM12" s="529"/>
    </row>
    <row r="13" spans="1:43" ht="15" x14ac:dyDescent="0.25">
      <c r="A13" s="977" t="s">
        <v>61</v>
      </c>
      <c r="B13" s="387">
        <f>B12/B10</f>
        <v>2.9582929194956354E-2</v>
      </c>
      <c r="C13" s="181">
        <f t="shared" ref="C13:AF13" si="1">C12/C10</f>
        <v>2.9570472695877401E-2</v>
      </c>
      <c r="D13" s="181">
        <f t="shared" si="1"/>
        <v>5.2553820177289996E-2</v>
      </c>
      <c r="E13" s="181">
        <f t="shared" si="1"/>
        <v>2.7209644155281897E-2</v>
      </c>
      <c r="F13" s="181">
        <f t="shared" si="1"/>
        <v>3.0393835616438356E-2</v>
      </c>
      <c r="G13" s="181">
        <f t="shared" si="1"/>
        <v>2.0747533636938906E-2</v>
      </c>
      <c r="H13" s="181">
        <f t="shared" si="1"/>
        <v>2.0365752285951787E-2</v>
      </c>
      <c r="I13" s="181">
        <f t="shared" si="1"/>
        <v>3.1695135529790898E-2</v>
      </c>
      <c r="J13" s="181">
        <f t="shared" si="1"/>
        <v>3.3532486930545252E-2</v>
      </c>
      <c r="K13" s="181">
        <f t="shared" si="1"/>
        <v>1.2570356472795497E-2</v>
      </c>
      <c r="L13" s="680">
        <f t="shared" si="1"/>
        <v>4.5240409780901479E-3</v>
      </c>
      <c r="M13" s="387">
        <f t="shared" si="1"/>
        <v>1.144096313467431E-2</v>
      </c>
      <c r="N13" s="181">
        <f t="shared" si="1"/>
        <v>1.4369933677229182E-2</v>
      </c>
      <c r="O13" s="181">
        <f t="shared" si="1"/>
        <v>1.8847006651884702E-2</v>
      </c>
      <c r="P13" s="181">
        <f t="shared" si="1"/>
        <v>3.0565273430307495E-2</v>
      </c>
      <c r="Q13" s="181">
        <f t="shared" si="1"/>
        <v>2.0622353157797826E-2</v>
      </c>
      <c r="R13" s="181">
        <f t="shared" si="1"/>
        <v>1.8304960644334616E-2</v>
      </c>
      <c r="S13" s="181">
        <f t="shared" si="1"/>
        <v>0.02</v>
      </c>
      <c r="T13" s="181">
        <f t="shared" si="1"/>
        <v>2.7428571428571427E-2</v>
      </c>
      <c r="U13" s="181">
        <f t="shared" si="1"/>
        <v>3.2422417786012042E-2</v>
      </c>
      <c r="V13" s="181">
        <f t="shared" si="1"/>
        <v>4.5990293505893232E-2</v>
      </c>
      <c r="W13" s="181">
        <f t="shared" si="1"/>
        <v>2.0578034682080925E-2</v>
      </c>
      <c r="X13" s="181">
        <f t="shared" si="1"/>
        <v>1.5296803652968037E-2</v>
      </c>
      <c r="Y13" s="181">
        <f t="shared" si="1"/>
        <v>2.0055528902196328E-2</v>
      </c>
      <c r="Z13" s="181">
        <f t="shared" si="1"/>
        <v>2.3918203396019719E-2</v>
      </c>
      <c r="AA13" s="181">
        <f t="shared" si="1"/>
        <v>2.5045372050816698E-2</v>
      </c>
      <c r="AB13" s="181">
        <f t="shared" si="1"/>
        <v>1.7824663514005093E-2</v>
      </c>
      <c r="AC13" s="181">
        <f t="shared" si="1"/>
        <v>1.9999999999999941E-2</v>
      </c>
      <c r="AD13" s="181">
        <f t="shared" si="1"/>
        <v>1.9999999999999931E-2</v>
      </c>
      <c r="AE13" s="181">
        <f t="shared" si="1"/>
        <v>4.1085271317829457E-2</v>
      </c>
      <c r="AF13" s="680">
        <f t="shared" si="1"/>
        <v>3.4206000382189947E-2</v>
      </c>
      <c r="AG13" s="762">
        <f>'CO '!AG13</f>
        <v>2.8489483747609942E-2</v>
      </c>
      <c r="AH13" s="497">
        <f>'CO '!AH13</f>
        <v>2.4782444192205828E-2</v>
      </c>
      <c r="AI13" s="964"/>
      <c r="AJ13" s="859"/>
      <c r="AK13" s="859"/>
      <c r="AL13" s="859"/>
      <c r="AM13" s="529"/>
    </row>
    <row r="14" spans="1:43" ht="15" x14ac:dyDescent="0.25">
      <c r="A14" s="626"/>
      <c r="B14" s="642"/>
      <c r="C14" s="189"/>
      <c r="D14" s="190"/>
      <c r="E14" s="190"/>
      <c r="F14" s="190"/>
      <c r="G14" s="190"/>
      <c r="H14" s="190"/>
      <c r="I14" s="190"/>
      <c r="J14" s="190"/>
      <c r="K14" s="190"/>
      <c r="L14" s="363"/>
      <c r="M14" s="389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363"/>
      <c r="AG14" s="763"/>
      <c r="AH14" s="497"/>
      <c r="AI14" s="763"/>
      <c r="AJ14" s="860"/>
      <c r="AK14" s="860"/>
      <c r="AL14" s="860"/>
      <c r="AM14" s="667"/>
    </row>
    <row r="15" spans="1:43" ht="15" x14ac:dyDescent="0.25">
      <c r="A15" s="624" t="s">
        <v>44</v>
      </c>
      <c r="B15" s="642"/>
      <c r="C15" s="196"/>
      <c r="D15" s="197"/>
      <c r="E15" s="197"/>
      <c r="F15" s="197"/>
      <c r="G15" s="197"/>
      <c r="H15" s="643"/>
      <c r="I15" s="643"/>
      <c r="J15" s="197"/>
      <c r="K15" s="197"/>
      <c r="L15" s="681"/>
      <c r="M15" s="690"/>
      <c r="N15" s="643"/>
      <c r="O15" s="643"/>
      <c r="P15" s="643"/>
      <c r="Q15" s="643"/>
      <c r="R15" s="194"/>
      <c r="S15" s="643"/>
      <c r="T15" s="643"/>
      <c r="U15" s="643"/>
      <c r="V15" s="643"/>
      <c r="W15" s="194"/>
      <c r="X15" s="194"/>
      <c r="Y15" s="194"/>
      <c r="Z15" s="194"/>
      <c r="AA15" s="194"/>
      <c r="AB15" s="845">
        <v>3068</v>
      </c>
      <c r="AC15" s="844"/>
      <c r="AD15" s="844"/>
      <c r="AE15" s="845">
        <v>2871</v>
      </c>
      <c r="AF15" s="687">
        <v>4136</v>
      </c>
      <c r="AG15" s="764">
        <f>'CO '!AG15</f>
        <v>4510</v>
      </c>
      <c r="AH15" s="497"/>
      <c r="AI15" s="764"/>
      <c r="AJ15" s="858"/>
      <c r="AK15" s="858"/>
      <c r="AL15" s="858">
        <v>2375.2150000000001</v>
      </c>
      <c r="AM15" s="667"/>
    </row>
    <row r="16" spans="1:43" ht="15" x14ac:dyDescent="0.25">
      <c r="A16" s="621" t="s">
        <v>191</v>
      </c>
      <c r="B16" s="642"/>
      <c r="C16" s="196"/>
      <c r="D16" s="197"/>
      <c r="E16" s="197"/>
      <c r="F16" s="197"/>
      <c r="G16" s="197"/>
      <c r="H16" s="643"/>
      <c r="I16" s="643"/>
      <c r="J16" s="197"/>
      <c r="K16" s="197"/>
      <c r="L16" s="681"/>
      <c r="M16" s="690"/>
      <c r="N16" s="643"/>
      <c r="O16" s="643"/>
      <c r="P16" s="643"/>
      <c r="Q16" s="643"/>
      <c r="R16" s="194"/>
      <c r="S16" s="643"/>
      <c r="T16" s="643"/>
      <c r="U16" s="643"/>
      <c r="V16" s="643"/>
      <c r="W16" s="194"/>
      <c r="X16" s="194"/>
      <c r="Y16" s="194"/>
      <c r="Z16" s="194"/>
      <c r="AA16" s="194"/>
      <c r="AB16" s="790">
        <f>AB15/AB10</f>
        <v>0.55802109858130233</v>
      </c>
      <c r="AC16" s="844"/>
      <c r="AD16" s="844"/>
      <c r="AE16" s="790">
        <f>AE15/AE10</f>
        <v>0.55639534883720931</v>
      </c>
      <c r="AF16" s="680">
        <f>AF15/AF10</f>
        <v>0.79036881330021025</v>
      </c>
      <c r="AG16" s="762">
        <f>'CO '!AG16</f>
        <v>0.86233269598470363</v>
      </c>
      <c r="AH16" s="497"/>
      <c r="AI16" s="762"/>
      <c r="AJ16" s="859"/>
      <c r="AK16" s="859"/>
      <c r="AL16" s="859">
        <f>AL15/AL10</f>
        <v>0.51171770561810881</v>
      </c>
      <c r="AM16" s="667"/>
    </row>
    <row r="17" spans="1:43" ht="15" x14ac:dyDescent="0.25">
      <c r="A17" s="621" t="s">
        <v>29</v>
      </c>
      <c r="B17" s="642"/>
      <c r="C17" s="196"/>
      <c r="D17" s="197"/>
      <c r="E17" s="197"/>
      <c r="F17" s="197"/>
      <c r="G17" s="197"/>
      <c r="H17" s="643"/>
      <c r="I17" s="643"/>
      <c r="J17" s="197"/>
      <c r="K17" s="197"/>
      <c r="L17" s="681"/>
      <c r="M17" s="690"/>
      <c r="N17" s="643"/>
      <c r="O17" s="643"/>
      <c r="P17" s="643"/>
      <c r="Q17" s="643"/>
      <c r="R17" s="194"/>
      <c r="S17" s="643"/>
      <c r="T17" s="643"/>
      <c r="U17" s="643"/>
      <c r="V17" s="643"/>
      <c r="W17" s="194"/>
      <c r="X17" s="194"/>
      <c r="Y17" s="194"/>
      <c r="Z17" s="194"/>
      <c r="AA17" s="194"/>
      <c r="AB17" s="790">
        <f>AB15/AB21</f>
        <v>0.56814814814814818</v>
      </c>
      <c r="AC17" s="844"/>
      <c r="AD17" s="844"/>
      <c r="AE17" s="790">
        <f>AE15/AE21</f>
        <v>0.58023443815683107</v>
      </c>
      <c r="AF17" s="680">
        <f>AF15/AF21</f>
        <v>0.81836169370795409</v>
      </c>
      <c r="AG17" s="762">
        <f>'CO '!AG17</f>
        <v>0.88762054713639049</v>
      </c>
      <c r="AH17" s="497"/>
      <c r="AI17" s="762"/>
      <c r="AJ17" s="859"/>
      <c r="AK17" s="859"/>
      <c r="AL17" s="859">
        <f>AL15/AL21</f>
        <v>0.5263354414391257</v>
      </c>
      <c r="AM17" s="667"/>
    </row>
    <row r="18" spans="1:43" ht="14.25" x14ac:dyDescent="0.2">
      <c r="A18" s="621"/>
      <c r="B18" s="642"/>
      <c r="C18" s="196"/>
      <c r="D18" s="197"/>
      <c r="E18" s="197"/>
      <c r="F18" s="197"/>
      <c r="G18" s="197"/>
      <c r="H18" s="643"/>
      <c r="I18" s="643"/>
      <c r="J18" s="197"/>
      <c r="K18" s="197"/>
      <c r="L18" s="681"/>
      <c r="M18" s="690"/>
      <c r="N18" s="643"/>
      <c r="O18" s="643"/>
      <c r="P18" s="643"/>
      <c r="Q18" s="643"/>
      <c r="R18" s="194"/>
      <c r="S18" s="643"/>
      <c r="T18" s="643"/>
      <c r="U18" s="643"/>
      <c r="V18" s="643"/>
      <c r="W18" s="194"/>
      <c r="X18" s="194"/>
      <c r="Y18" s="194"/>
      <c r="Z18" s="194"/>
      <c r="AA18" s="194"/>
      <c r="AB18" s="194"/>
      <c r="AC18" s="194"/>
      <c r="AD18" s="194"/>
      <c r="AE18" s="194"/>
      <c r="AF18" s="365"/>
      <c r="AG18" s="765"/>
      <c r="AH18" s="1019"/>
      <c r="AI18" s="765"/>
      <c r="AJ18" s="861"/>
      <c r="AK18" s="861"/>
      <c r="AL18" s="861"/>
      <c r="AM18" s="667"/>
    </row>
    <row r="19" spans="1:43" ht="15" x14ac:dyDescent="0.25">
      <c r="A19" s="627" t="s">
        <v>59</v>
      </c>
      <c r="B19" s="642"/>
      <c r="C19" s="196"/>
      <c r="D19" s="197"/>
      <c r="E19" s="197"/>
      <c r="F19" s="197"/>
      <c r="G19" s="197"/>
      <c r="H19" s="197"/>
      <c r="I19" s="197"/>
      <c r="J19" s="197"/>
      <c r="K19" s="197"/>
      <c r="L19" s="366"/>
      <c r="M19" s="392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366"/>
      <c r="AG19" s="766"/>
      <c r="AH19" s="497"/>
      <c r="AI19" s="766"/>
      <c r="AJ19" s="862"/>
      <c r="AK19" s="862"/>
      <c r="AL19" s="862"/>
      <c r="AM19" s="667"/>
    </row>
    <row r="20" spans="1:43" ht="15" x14ac:dyDescent="0.25">
      <c r="A20" s="628" t="s">
        <v>2</v>
      </c>
      <c r="B20" s="393">
        <v>591</v>
      </c>
      <c r="C20" s="200">
        <v>354</v>
      </c>
      <c r="D20" s="200">
        <v>298</v>
      </c>
      <c r="E20" s="200">
        <v>272</v>
      </c>
      <c r="F20" s="200">
        <v>270</v>
      </c>
      <c r="G20" s="200">
        <v>331</v>
      </c>
      <c r="H20" s="200">
        <v>331</v>
      </c>
      <c r="I20" s="200">
        <v>238</v>
      </c>
      <c r="J20" s="200">
        <v>285.52899999999954</v>
      </c>
      <c r="K20" s="200">
        <v>285.52899999999954</v>
      </c>
      <c r="L20" s="682">
        <v>285.77</v>
      </c>
      <c r="M20" s="393">
        <v>286</v>
      </c>
      <c r="N20" s="200">
        <v>215</v>
      </c>
      <c r="O20" s="200">
        <v>215</v>
      </c>
      <c r="P20" s="200">
        <v>215</v>
      </c>
      <c r="Q20" s="200">
        <v>215</v>
      </c>
      <c r="R20" s="200">
        <v>215</v>
      </c>
      <c r="S20" s="200">
        <v>70</v>
      </c>
      <c r="T20" s="200">
        <v>149.37</v>
      </c>
      <c r="U20" s="200">
        <v>149</v>
      </c>
      <c r="V20" s="200">
        <v>149</v>
      </c>
      <c r="W20" s="200">
        <v>149</v>
      </c>
      <c r="X20" s="200">
        <v>149</v>
      </c>
      <c r="Y20" s="200">
        <v>107.64</v>
      </c>
      <c r="Z20" s="200">
        <v>90</v>
      </c>
      <c r="AA20" s="200">
        <v>90</v>
      </c>
      <c r="AB20" s="200">
        <v>90</v>
      </c>
      <c r="AC20" s="200">
        <v>71.159999999999854</v>
      </c>
      <c r="AD20" s="200">
        <v>18</v>
      </c>
      <c r="AE20" s="200">
        <v>69</v>
      </c>
      <c r="AF20" s="682">
        <v>69</v>
      </c>
      <c r="AG20" s="767">
        <f>'CO '!AG20</f>
        <v>69</v>
      </c>
      <c r="AH20" s="497">
        <f>'CO '!AH20</f>
        <v>69</v>
      </c>
      <c r="AI20" s="767">
        <f>'CO '!AI20</f>
        <v>63.36</v>
      </c>
      <c r="AJ20" s="863">
        <f>AG42</f>
        <v>50.1899999999996</v>
      </c>
      <c r="AK20" s="863">
        <f>AH42</f>
        <v>96.449999999999818</v>
      </c>
      <c r="AL20" s="863">
        <f>AI42</f>
        <v>50.374409999999443</v>
      </c>
      <c r="AM20" s="668">
        <f>(AL20-AI20)/AI20</f>
        <v>-0.2049493371212209</v>
      </c>
    </row>
    <row r="21" spans="1:43" ht="15" x14ac:dyDescent="0.25">
      <c r="A21" s="629" t="s">
        <v>21</v>
      </c>
      <c r="B21" s="393">
        <v>4002</v>
      </c>
      <c r="C21" s="200">
        <v>4496</v>
      </c>
      <c r="D21" s="200">
        <v>4489</v>
      </c>
      <c r="E21" s="200">
        <v>5464</v>
      </c>
      <c r="F21" s="200">
        <v>4530</v>
      </c>
      <c r="G21" s="200">
        <v>4719.8500000000004</v>
      </c>
      <c r="H21" s="200">
        <v>4714</v>
      </c>
      <c r="I21" s="200">
        <v>5034.3999999999996</v>
      </c>
      <c r="J21" s="200">
        <v>5176.3999999999996</v>
      </c>
      <c r="K21" s="200">
        <v>5263</v>
      </c>
      <c r="L21" s="682">
        <v>5325</v>
      </c>
      <c r="M21" s="511">
        <v>5288</v>
      </c>
      <c r="N21" s="722">
        <v>5350</v>
      </c>
      <c r="O21" s="722">
        <v>5310</v>
      </c>
      <c r="P21" s="722">
        <v>5265</v>
      </c>
      <c r="Q21" s="722">
        <v>5319</v>
      </c>
      <c r="R21" s="722">
        <v>5363</v>
      </c>
      <c r="S21" s="722">
        <v>4655</v>
      </c>
      <c r="T21" s="722">
        <v>4255</v>
      </c>
      <c r="U21" s="722">
        <v>4178</v>
      </c>
      <c r="V21" s="722">
        <v>4128</v>
      </c>
      <c r="W21" s="722">
        <v>4236</v>
      </c>
      <c r="X21" s="722">
        <v>4313</v>
      </c>
      <c r="Y21" s="722">
        <v>5086</v>
      </c>
      <c r="Z21" s="722">
        <v>5346</v>
      </c>
      <c r="AA21" s="722">
        <v>5372</v>
      </c>
      <c r="AB21" s="722">
        <v>5400</v>
      </c>
      <c r="AC21" s="722">
        <v>4872.5403999999999</v>
      </c>
      <c r="AD21" s="722">
        <v>4852.6660000000002</v>
      </c>
      <c r="AE21" s="722">
        <v>4948</v>
      </c>
      <c r="AF21" s="851">
        <v>5054</v>
      </c>
      <c r="AG21" s="768">
        <f>'CO '!AG21</f>
        <v>5081</v>
      </c>
      <c r="AH21" s="497">
        <f>'CO '!AH21</f>
        <v>5155</v>
      </c>
      <c r="AI21" s="768">
        <f>'CO '!AI21</f>
        <v>5205.9589999999998</v>
      </c>
      <c r="AJ21" s="864">
        <f>AJ10*0.96</f>
        <v>4895.6697599999998</v>
      </c>
      <c r="AK21" s="864">
        <f>AK22*AK10</f>
        <v>4806.165</v>
      </c>
      <c r="AL21" s="864">
        <v>4512.74</v>
      </c>
      <c r="AM21" s="668">
        <f>(AL21-AI21)/AI21</f>
        <v>-0.13315875134629376</v>
      </c>
    </row>
    <row r="22" spans="1:43" ht="15" x14ac:dyDescent="0.25">
      <c r="A22" s="621" t="s">
        <v>30</v>
      </c>
      <c r="B22" s="387"/>
      <c r="C22" s="181">
        <v>0.97042952730412257</v>
      </c>
      <c r="D22" s="181">
        <v>0.94744617982270996</v>
      </c>
      <c r="E22" s="181">
        <v>0.97279035584471807</v>
      </c>
      <c r="F22" s="181"/>
      <c r="G22" s="181"/>
      <c r="H22" s="181">
        <v>0.97963424771404817</v>
      </c>
      <c r="I22" s="181"/>
      <c r="J22" s="181"/>
      <c r="K22" s="181"/>
      <c r="L22" s="680"/>
      <c r="M22" s="387">
        <v>0.98855903686532565</v>
      </c>
      <c r="N22" s="181"/>
      <c r="O22" s="181"/>
      <c r="P22" s="181"/>
      <c r="Q22" s="181">
        <v>0.97937764684220219</v>
      </c>
      <c r="R22" s="181">
        <v>0.98169503935566538</v>
      </c>
      <c r="S22" s="181">
        <v>0.98</v>
      </c>
      <c r="T22" s="181">
        <v>0.97257142857142853</v>
      </c>
      <c r="U22" s="181">
        <v>0.96757758221398793</v>
      </c>
      <c r="V22" s="181">
        <v>0.95400970649410677</v>
      </c>
      <c r="W22" s="181">
        <v>0.97942196531791903</v>
      </c>
      <c r="X22" s="181">
        <v>0.98470319634703196</v>
      </c>
      <c r="Y22" s="181">
        <v>0.97994447109780369</v>
      </c>
      <c r="Z22" s="181">
        <v>0.97608179660398031</v>
      </c>
      <c r="AA22" s="181">
        <v>0.97495462794918331</v>
      </c>
      <c r="AB22" s="181">
        <v>0.98217533648599487</v>
      </c>
      <c r="AC22" s="181">
        <v>0.98</v>
      </c>
      <c r="AD22" s="181">
        <v>0.98</v>
      </c>
      <c r="AE22" s="181">
        <v>0.95891472868217054</v>
      </c>
      <c r="AF22" s="680">
        <v>0.95891472868217054</v>
      </c>
      <c r="AG22" s="762">
        <f>'CO '!AG22</f>
        <v>0.95891472868217054</v>
      </c>
      <c r="AH22" s="497"/>
      <c r="AI22" s="762"/>
      <c r="AJ22" s="859"/>
      <c r="AK22" s="859">
        <v>0.98</v>
      </c>
      <c r="AL22" s="859">
        <f>AL21/AL10</f>
        <v>0.97222733893608115</v>
      </c>
      <c r="AM22" s="669"/>
    </row>
    <row r="23" spans="1:43" ht="15" x14ac:dyDescent="0.25">
      <c r="A23" s="630" t="s">
        <v>31</v>
      </c>
      <c r="B23" s="386"/>
      <c r="C23" s="175">
        <v>112</v>
      </c>
      <c r="D23" s="175">
        <v>136</v>
      </c>
      <c r="E23" s="175">
        <v>139</v>
      </c>
      <c r="F23" s="175">
        <v>0</v>
      </c>
      <c r="G23" s="175">
        <v>0</v>
      </c>
      <c r="H23" s="175">
        <v>204</v>
      </c>
      <c r="I23" s="175"/>
      <c r="J23" s="175"/>
      <c r="K23" s="175"/>
      <c r="L23" s="679"/>
      <c r="M23" s="386"/>
      <c r="N23" s="175"/>
      <c r="O23" s="175"/>
      <c r="P23" s="175"/>
      <c r="Q23" s="175"/>
      <c r="R23" s="175">
        <v>145</v>
      </c>
      <c r="S23" s="175"/>
      <c r="T23" s="175"/>
      <c r="U23" s="175"/>
      <c r="V23" s="175"/>
      <c r="W23" s="175"/>
      <c r="X23" s="175">
        <v>133</v>
      </c>
      <c r="Y23" s="175"/>
      <c r="Z23" s="175"/>
      <c r="AA23" s="175"/>
      <c r="AB23" s="175">
        <v>200</v>
      </c>
      <c r="AC23" s="175"/>
      <c r="AD23" s="175"/>
      <c r="AE23" s="175"/>
      <c r="AF23" s="679"/>
      <c r="AG23" s="761"/>
      <c r="AH23" s="497"/>
      <c r="AI23" s="761"/>
      <c r="AJ23" s="865"/>
      <c r="AK23" s="865"/>
      <c r="AL23" s="865"/>
      <c r="AM23" s="529"/>
    </row>
    <row r="24" spans="1:43" ht="15" x14ac:dyDescent="0.25">
      <c r="A24" s="627" t="s">
        <v>20</v>
      </c>
      <c r="B24" s="512">
        <v>80</v>
      </c>
      <c r="C24" s="440">
        <v>289</v>
      </c>
      <c r="D24" s="440">
        <v>921</v>
      </c>
      <c r="E24" s="440">
        <v>552</v>
      </c>
      <c r="F24" s="440">
        <v>800</v>
      </c>
      <c r="G24" s="440">
        <v>940</v>
      </c>
      <c r="H24" s="440">
        <v>942.60199999999986</v>
      </c>
      <c r="I24" s="440">
        <v>600</v>
      </c>
      <c r="J24" s="440">
        <v>450</v>
      </c>
      <c r="K24" s="440">
        <v>550</v>
      </c>
      <c r="L24" s="495">
        <v>665</v>
      </c>
      <c r="M24" s="563">
        <v>692</v>
      </c>
      <c r="N24" s="530">
        <v>550</v>
      </c>
      <c r="O24" s="530">
        <v>650</v>
      </c>
      <c r="P24" s="530">
        <v>695</v>
      </c>
      <c r="Q24" s="530">
        <v>625</v>
      </c>
      <c r="R24" s="530">
        <v>683</v>
      </c>
      <c r="S24" s="530">
        <v>750</v>
      </c>
      <c r="T24" s="530">
        <v>950</v>
      </c>
      <c r="U24" s="530">
        <v>1200</v>
      </c>
      <c r="V24" s="530">
        <v>1200</v>
      </c>
      <c r="W24" s="530">
        <v>1200</v>
      </c>
      <c r="X24" s="530">
        <v>1172</v>
      </c>
      <c r="Y24" s="530">
        <v>700</v>
      </c>
      <c r="Z24" s="530">
        <v>650</v>
      </c>
      <c r="AA24" s="530">
        <v>660</v>
      </c>
      <c r="AB24" s="530">
        <v>722</v>
      </c>
      <c r="AC24" s="530">
        <v>900</v>
      </c>
      <c r="AD24" s="530">
        <v>1000</v>
      </c>
      <c r="AE24" s="530">
        <v>1100</v>
      </c>
      <c r="AF24" s="756">
        <f t="shared" ref="AF24:AL24" si="2">AF25+AF26</f>
        <v>1300</v>
      </c>
      <c r="AG24" s="756">
        <f t="shared" si="2"/>
        <v>1230</v>
      </c>
      <c r="AH24" s="1020">
        <f t="shared" si="2"/>
        <v>1200</v>
      </c>
      <c r="AI24" s="756">
        <f t="shared" si="2"/>
        <v>1190.49</v>
      </c>
      <c r="AJ24" s="756">
        <f t="shared" si="2"/>
        <v>1220</v>
      </c>
      <c r="AK24" s="756">
        <f t="shared" si="2"/>
        <v>1000</v>
      </c>
      <c r="AL24" s="756">
        <f t="shared" si="2"/>
        <v>0</v>
      </c>
      <c r="AM24" s="721">
        <f>(AL24-AI24)/AI24</f>
        <v>-1</v>
      </c>
      <c r="AQ24" s="846"/>
    </row>
    <row r="25" spans="1:43" ht="14.25" x14ac:dyDescent="0.2">
      <c r="A25" s="663" t="s">
        <v>45</v>
      </c>
      <c r="B25" s="670">
        <v>60</v>
      </c>
      <c r="C25" s="671">
        <v>139</v>
      </c>
      <c r="D25" s="671">
        <v>316</v>
      </c>
      <c r="E25" s="671">
        <v>188</v>
      </c>
      <c r="F25" s="671">
        <v>500</v>
      </c>
      <c r="G25" s="671">
        <v>415</v>
      </c>
      <c r="H25" s="671">
        <v>415.64299999999997</v>
      </c>
      <c r="I25" s="671">
        <v>300</v>
      </c>
      <c r="J25" s="671">
        <v>350</v>
      </c>
      <c r="K25" s="671">
        <v>330</v>
      </c>
      <c r="L25" s="683">
        <v>300</v>
      </c>
      <c r="M25" s="720">
        <v>297</v>
      </c>
      <c r="N25" s="671">
        <v>150</v>
      </c>
      <c r="O25" s="671">
        <v>100</v>
      </c>
      <c r="P25" s="671">
        <v>75</v>
      </c>
      <c r="Q25" s="671">
        <v>75</v>
      </c>
      <c r="R25" s="719">
        <v>76</v>
      </c>
      <c r="S25" s="671">
        <v>250</v>
      </c>
      <c r="T25" s="671">
        <v>200</v>
      </c>
      <c r="U25" s="671">
        <v>255</v>
      </c>
      <c r="V25" s="671">
        <v>260</v>
      </c>
      <c r="W25" s="671">
        <v>260</v>
      </c>
      <c r="X25" s="719">
        <v>259</v>
      </c>
      <c r="Y25" s="671">
        <v>300</v>
      </c>
      <c r="Z25" s="671">
        <v>350</v>
      </c>
      <c r="AA25" s="671">
        <v>240</v>
      </c>
      <c r="AB25" s="719">
        <v>250</v>
      </c>
      <c r="AC25" s="671">
        <v>350</v>
      </c>
      <c r="AD25" s="671">
        <v>400</v>
      </c>
      <c r="AE25" s="719">
        <v>400</v>
      </c>
      <c r="AF25" s="852">
        <v>350</v>
      </c>
      <c r="AG25" s="769">
        <f>'CO '!AG25</f>
        <v>300</v>
      </c>
      <c r="AH25" s="1019">
        <f>'CO '!AH25</f>
        <v>300</v>
      </c>
      <c r="AI25" s="769">
        <f>'CO '!AI25</f>
        <v>302.74599999999998</v>
      </c>
      <c r="AJ25" s="868">
        <v>270</v>
      </c>
      <c r="AK25" s="868">
        <v>150</v>
      </c>
      <c r="AL25" s="868"/>
      <c r="AM25" s="718">
        <f>(AL25-AI25)/AI25</f>
        <v>-1</v>
      </c>
    </row>
    <row r="26" spans="1:43" ht="14.25" x14ac:dyDescent="0.2">
      <c r="A26" s="663" t="s">
        <v>3</v>
      </c>
      <c r="B26" s="670">
        <v>20</v>
      </c>
      <c r="C26" s="671">
        <v>150</v>
      </c>
      <c r="D26" s="671">
        <v>605</v>
      </c>
      <c r="E26" s="671">
        <v>364</v>
      </c>
      <c r="F26" s="671">
        <v>300</v>
      </c>
      <c r="G26" s="671">
        <v>525</v>
      </c>
      <c r="H26" s="671">
        <v>526.95899999999995</v>
      </c>
      <c r="I26" s="671">
        <v>300</v>
      </c>
      <c r="J26" s="671">
        <v>100</v>
      </c>
      <c r="K26" s="671">
        <v>220</v>
      </c>
      <c r="L26" s="683">
        <v>365</v>
      </c>
      <c r="M26" s="720">
        <v>395</v>
      </c>
      <c r="N26" s="671">
        <v>400</v>
      </c>
      <c r="O26" s="671">
        <v>550</v>
      </c>
      <c r="P26" s="671">
        <v>620</v>
      </c>
      <c r="Q26" s="671">
        <v>550</v>
      </c>
      <c r="R26" s="719">
        <v>607</v>
      </c>
      <c r="S26" s="671">
        <v>500</v>
      </c>
      <c r="T26" s="671">
        <v>750</v>
      </c>
      <c r="U26" s="671">
        <v>945</v>
      </c>
      <c r="V26" s="671">
        <v>940</v>
      </c>
      <c r="W26" s="671">
        <v>940</v>
      </c>
      <c r="X26" s="719">
        <v>913</v>
      </c>
      <c r="Y26" s="671">
        <v>400</v>
      </c>
      <c r="Z26" s="671">
        <v>300</v>
      </c>
      <c r="AA26" s="671">
        <v>420</v>
      </c>
      <c r="AB26" s="719">
        <v>472</v>
      </c>
      <c r="AC26" s="671">
        <v>550</v>
      </c>
      <c r="AD26" s="671">
        <v>600</v>
      </c>
      <c r="AE26" s="719">
        <v>700</v>
      </c>
      <c r="AF26" s="852">
        <v>950</v>
      </c>
      <c r="AG26" s="769">
        <f>'CO '!AG26</f>
        <v>930</v>
      </c>
      <c r="AH26" s="1019">
        <f>'CO '!AH26</f>
        <v>900</v>
      </c>
      <c r="AI26" s="769">
        <f>'CO '!AI26</f>
        <v>887.74400000000003</v>
      </c>
      <c r="AJ26" s="868">
        <v>950</v>
      </c>
      <c r="AK26" s="868">
        <v>850</v>
      </c>
      <c r="AL26" s="868"/>
      <c r="AM26" s="718">
        <f>(AL26-AI26)/AI26</f>
        <v>-1</v>
      </c>
    </row>
    <row r="27" spans="1:43" ht="18" x14ac:dyDescent="0.25">
      <c r="A27" s="631" t="s">
        <v>4</v>
      </c>
      <c r="B27" s="513">
        <v>4673</v>
      </c>
      <c r="C27" s="644">
        <v>5251</v>
      </c>
      <c r="D27" s="644">
        <v>5844</v>
      </c>
      <c r="E27" s="644">
        <v>6427</v>
      </c>
      <c r="F27" s="644">
        <v>5600</v>
      </c>
      <c r="G27" s="644">
        <v>5990.85</v>
      </c>
      <c r="H27" s="644">
        <v>6191.6019999999999</v>
      </c>
      <c r="I27" s="644">
        <v>5872.4</v>
      </c>
      <c r="J27" s="644">
        <v>5911.9289999999992</v>
      </c>
      <c r="K27" s="644">
        <v>6098.5289999999995</v>
      </c>
      <c r="L27" s="684">
        <v>6275.77</v>
      </c>
      <c r="M27" s="723">
        <v>6266</v>
      </c>
      <c r="N27" s="724">
        <v>6115</v>
      </c>
      <c r="O27" s="724">
        <v>6175</v>
      </c>
      <c r="P27" s="724">
        <v>6175</v>
      </c>
      <c r="Q27" s="724">
        <v>6159</v>
      </c>
      <c r="R27" s="724">
        <v>6406</v>
      </c>
      <c r="S27" s="724">
        <v>5475</v>
      </c>
      <c r="T27" s="724">
        <v>5354.37</v>
      </c>
      <c r="U27" s="724">
        <v>5527</v>
      </c>
      <c r="V27" s="724">
        <v>5477</v>
      </c>
      <c r="W27" s="724">
        <v>5585</v>
      </c>
      <c r="X27" s="724">
        <v>5767</v>
      </c>
      <c r="Y27" s="724">
        <v>5893.64</v>
      </c>
      <c r="Z27" s="724">
        <v>6086</v>
      </c>
      <c r="AA27" s="724">
        <v>6122</v>
      </c>
      <c r="AB27" s="724">
        <v>6412</v>
      </c>
      <c r="AC27" s="724">
        <v>5843.7003999999997</v>
      </c>
      <c r="AD27" s="724">
        <v>5870.6660000000002</v>
      </c>
      <c r="AE27" s="724">
        <v>6117</v>
      </c>
      <c r="AF27" s="757">
        <f t="shared" ref="AF27:AL27" si="3">AF20+AF21+AF24</f>
        <v>6423</v>
      </c>
      <c r="AG27" s="757">
        <f t="shared" si="3"/>
        <v>6380</v>
      </c>
      <c r="AH27" s="757">
        <f t="shared" si="3"/>
        <v>6424</v>
      </c>
      <c r="AI27" s="757">
        <f t="shared" si="3"/>
        <v>6459.8089999999993</v>
      </c>
      <c r="AJ27" s="757">
        <f t="shared" si="3"/>
        <v>6165.8597599999994</v>
      </c>
      <c r="AK27" s="757">
        <f t="shared" si="3"/>
        <v>5902.6149999999998</v>
      </c>
      <c r="AL27" s="757">
        <f t="shared" si="3"/>
        <v>4563.1144099999992</v>
      </c>
      <c r="AM27" s="656">
        <f>(AL27-AI27)/AI27</f>
        <v>-0.2936146548605385</v>
      </c>
    </row>
    <row r="28" spans="1:43" ht="15" customHeight="1" x14ac:dyDescent="0.2">
      <c r="A28" s="632"/>
      <c r="B28" s="645"/>
      <c r="C28" s="227"/>
      <c r="D28" s="228"/>
      <c r="E28" s="229"/>
      <c r="F28" s="230"/>
      <c r="G28" s="230"/>
      <c r="H28" s="230"/>
      <c r="I28" s="230"/>
      <c r="J28" s="230"/>
      <c r="K28" s="230"/>
      <c r="L28" s="373"/>
      <c r="M28" s="399"/>
      <c r="N28" s="230"/>
      <c r="O28" s="230"/>
      <c r="P28" s="230"/>
      <c r="Q28" s="230"/>
      <c r="R28" s="230"/>
      <c r="S28" s="230"/>
      <c r="T28" s="230"/>
      <c r="U28" s="230"/>
      <c r="V28" s="230"/>
      <c r="W28" s="230"/>
      <c r="X28" s="230"/>
      <c r="Y28" s="230"/>
      <c r="Z28" s="230"/>
      <c r="AA28" s="230"/>
      <c r="AB28" s="230"/>
      <c r="AC28" s="230"/>
      <c r="AD28" s="646"/>
      <c r="AE28" s="646"/>
      <c r="AF28" s="646"/>
      <c r="AG28" s="850"/>
      <c r="AH28" s="850"/>
      <c r="AI28" s="850"/>
      <c r="AJ28" s="850"/>
      <c r="AK28" s="850"/>
      <c r="AL28" s="850"/>
      <c r="AM28" s="667"/>
    </row>
    <row r="29" spans="1:43" ht="18" x14ac:dyDescent="0.25">
      <c r="A29" s="623" t="s">
        <v>5</v>
      </c>
      <c r="B29" s="647"/>
      <c r="C29" s="648"/>
      <c r="D29" s="649"/>
      <c r="E29" s="229"/>
      <c r="F29" s="230"/>
      <c r="G29" s="230"/>
      <c r="H29" s="230"/>
      <c r="I29" s="230"/>
      <c r="J29" s="230"/>
      <c r="K29" s="230"/>
      <c r="L29" s="373"/>
      <c r="M29" s="399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30"/>
      <c r="AB29" s="230"/>
      <c r="AC29" s="230"/>
      <c r="AD29" s="230"/>
      <c r="AE29" s="230"/>
      <c r="AF29" s="230"/>
      <c r="AG29" s="373"/>
      <c r="AH29" s="373"/>
      <c r="AI29" s="373"/>
      <c r="AJ29" s="373"/>
      <c r="AK29" s="373"/>
      <c r="AL29" s="373"/>
      <c r="AM29" s="667"/>
    </row>
    <row r="30" spans="1:43" s="4" customFormat="1" ht="18" x14ac:dyDescent="0.25">
      <c r="A30" s="605"/>
      <c r="B30" s="645"/>
      <c r="C30" s="227"/>
      <c r="D30" s="228"/>
      <c r="E30" s="227"/>
      <c r="F30" s="650"/>
      <c r="G30" s="650"/>
      <c r="H30" s="650"/>
      <c r="I30" s="650"/>
      <c r="J30" s="650"/>
      <c r="K30" s="650"/>
      <c r="L30" s="685"/>
      <c r="M30" s="691"/>
      <c r="N30" s="650"/>
      <c r="O30" s="650"/>
      <c r="P30" s="650"/>
      <c r="Q30" s="650"/>
      <c r="R30" s="650"/>
      <c r="S30" s="650"/>
      <c r="T30" s="650"/>
      <c r="U30" s="650"/>
      <c r="V30" s="650"/>
      <c r="W30" s="650"/>
      <c r="X30" s="650"/>
      <c r="Y30" s="650"/>
      <c r="Z30" s="650"/>
      <c r="AA30" s="650"/>
      <c r="AB30" s="650"/>
      <c r="AC30" s="650"/>
      <c r="AD30" s="650"/>
      <c r="AE30" s="650"/>
      <c r="AF30" s="650"/>
      <c r="AG30" s="685"/>
      <c r="AH30" s="685"/>
      <c r="AI30" s="685"/>
      <c r="AJ30" s="685"/>
      <c r="AK30" s="685"/>
      <c r="AL30" s="685"/>
      <c r="AM30" s="667"/>
    </row>
    <row r="31" spans="1:43" ht="15" x14ac:dyDescent="0.25">
      <c r="A31" s="627" t="s">
        <v>73</v>
      </c>
      <c r="B31" s="517">
        <v>2489</v>
      </c>
      <c r="C31" s="651">
        <v>2942</v>
      </c>
      <c r="D31" s="651">
        <v>3909</v>
      </c>
      <c r="E31" s="651">
        <v>4444</v>
      </c>
      <c r="F31" s="651">
        <v>4780</v>
      </c>
      <c r="G31" s="651">
        <v>4660</v>
      </c>
      <c r="H31" s="651">
        <v>4695</v>
      </c>
      <c r="I31" s="651">
        <v>4325.3440000000001</v>
      </c>
      <c r="J31" s="651">
        <v>4156.7640000000001</v>
      </c>
      <c r="K31" s="651">
        <v>4342.63</v>
      </c>
      <c r="L31" s="686">
        <v>4333</v>
      </c>
      <c r="M31" s="517">
        <v>4345</v>
      </c>
      <c r="N31" s="651">
        <v>4910</v>
      </c>
      <c r="O31" s="651">
        <v>4823.1000000000004</v>
      </c>
      <c r="P31" s="651">
        <v>4733</v>
      </c>
      <c r="Q31" s="651">
        <v>4708</v>
      </c>
      <c r="R31" s="651">
        <v>4792.63</v>
      </c>
      <c r="S31" s="651">
        <v>4576.55</v>
      </c>
      <c r="T31" s="651">
        <v>4342.55</v>
      </c>
      <c r="U31" s="651">
        <v>4401.78</v>
      </c>
      <c r="V31" s="651">
        <v>4276.28</v>
      </c>
      <c r="W31" s="651">
        <v>4412.3599999999997</v>
      </c>
      <c r="X31" s="651">
        <v>4437.13</v>
      </c>
      <c r="Y31" s="651">
        <v>4620.8599999999997</v>
      </c>
      <c r="Z31" s="651">
        <v>4673.46</v>
      </c>
      <c r="AA31" s="651">
        <v>4738.72</v>
      </c>
      <c r="AB31" s="651">
        <v>4775</v>
      </c>
      <c r="AC31" s="651">
        <v>4623.7254039999998</v>
      </c>
      <c r="AD31" s="651">
        <v>4723.5266600000004</v>
      </c>
      <c r="AE31" s="651">
        <v>4924.4799999999996</v>
      </c>
      <c r="AF31" s="686">
        <f t="shared" ref="AF31:AL31" si="4">AF32+AF33+AF34+AF35</f>
        <v>4970.54</v>
      </c>
      <c r="AG31" s="686">
        <f t="shared" si="4"/>
        <v>4945.8100000000004</v>
      </c>
      <c r="AH31" s="686">
        <f t="shared" si="4"/>
        <v>4916.55</v>
      </c>
      <c r="AI31" s="686">
        <f t="shared" si="4"/>
        <v>4898.4475899999998</v>
      </c>
      <c r="AJ31" s="686">
        <f t="shared" si="4"/>
        <v>4708.9566975999996</v>
      </c>
      <c r="AK31" s="686">
        <f t="shared" si="4"/>
        <v>4608.0616499999996</v>
      </c>
      <c r="AL31" s="686">
        <f t="shared" si="4"/>
        <v>45.127400000000002</v>
      </c>
      <c r="AM31" s="658">
        <f>(AL31-AI31)/AI31</f>
        <v>-0.99078740781219621</v>
      </c>
    </row>
    <row r="32" spans="1:43" ht="16.5" x14ac:dyDescent="0.2">
      <c r="A32" s="624" t="s">
        <v>178</v>
      </c>
      <c r="B32" s="509">
        <v>2336</v>
      </c>
      <c r="C32" s="432">
        <v>2784</v>
      </c>
      <c r="D32" s="432">
        <v>3723</v>
      </c>
      <c r="E32" s="432">
        <v>4200</v>
      </c>
      <c r="F32" s="432">
        <v>4600</v>
      </c>
      <c r="G32" s="432">
        <v>4480</v>
      </c>
      <c r="H32" s="432">
        <v>4503</v>
      </c>
      <c r="I32" s="432">
        <v>4150</v>
      </c>
      <c r="J32" s="432">
        <v>4000</v>
      </c>
      <c r="K32" s="432">
        <v>4205</v>
      </c>
      <c r="L32" s="687">
        <v>4215</v>
      </c>
      <c r="M32" s="509">
        <v>4240</v>
      </c>
      <c r="N32" s="432">
        <v>4800</v>
      </c>
      <c r="O32" s="432">
        <v>4700</v>
      </c>
      <c r="P32" s="432">
        <v>4620</v>
      </c>
      <c r="Q32" s="432">
        <v>4600</v>
      </c>
      <c r="R32" s="432">
        <v>4687</v>
      </c>
      <c r="S32" s="432">
        <v>4480</v>
      </c>
      <c r="T32" s="432">
        <v>4250</v>
      </c>
      <c r="U32" s="432">
        <v>4300</v>
      </c>
      <c r="V32" s="432">
        <v>4175</v>
      </c>
      <c r="W32" s="432">
        <v>4300</v>
      </c>
      <c r="X32" s="432">
        <v>4325</v>
      </c>
      <c r="Y32" s="432">
        <v>4500</v>
      </c>
      <c r="Z32" s="432">
        <v>4550</v>
      </c>
      <c r="AA32" s="432">
        <v>4600</v>
      </c>
      <c r="AB32" s="432">
        <v>4640</v>
      </c>
      <c r="AC32" s="432">
        <v>4500</v>
      </c>
      <c r="AD32" s="432">
        <v>4600</v>
      </c>
      <c r="AE32" s="432">
        <v>4800</v>
      </c>
      <c r="AF32" s="687">
        <v>4860</v>
      </c>
      <c r="AG32" s="764">
        <f>'CO '!AG32</f>
        <v>4835</v>
      </c>
      <c r="AH32" s="1019">
        <f>'CO '!AH32</f>
        <v>4800</v>
      </c>
      <c r="AI32" s="764">
        <f>'CO '!AI32</f>
        <v>4780</v>
      </c>
      <c r="AJ32" s="858">
        <v>4600</v>
      </c>
      <c r="AK32" s="858">
        <v>4500</v>
      </c>
      <c r="AL32" s="858"/>
      <c r="AM32" s="273">
        <f>(AL32-AI32)/AI32</f>
        <v>-1</v>
      </c>
    </row>
    <row r="33" spans="1:39" ht="14.25" x14ac:dyDescent="0.2">
      <c r="A33" s="624" t="s">
        <v>6</v>
      </c>
      <c r="B33" s="509">
        <v>107</v>
      </c>
      <c r="C33" s="432">
        <v>109</v>
      </c>
      <c r="D33" s="432">
        <v>117</v>
      </c>
      <c r="E33" s="432">
        <v>162</v>
      </c>
      <c r="F33" s="432">
        <v>110</v>
      </c>
      <c r="G33" s="432">
        <v>110</v>
      </c>
      <c r="H33" s="432">
        <v>122</v>
      </c>
      <c r="I33" s="432">
        <v>100</v>
      </c>
      <c r="J33" s="432">
        <v>80</v>
      </c>
      <c r="K33" s="432">
        <v>60</v>
      </c>
      <c r="L33" s="687">
        <v>55</v>
      </c>
      <c r="M33" s="509">
        <v>62</v>
      </c>
      <c r="N33" s="432">
        <v>65</v>
      </c>
      <c r="O33" s="432">
        <v>60</v>
      </c>
      <c r="P33" s="432">
        <v>50</v>
      </c>
      <c r="Q33" s="432">
        <v>45</v>
      </c>
      <c r="R33" s="432">
        <v>42</v>
      </c>
      <c r="S33" s="432">
        <v>40</v>
      </c>
      <c r="T33" s="432">
        <v>40</v>
      </c>
      <c r="U33" s="432">
        <v>50</v>
      </c>
      <c r="V33" s="432">
        <v>50</v>
      </c>
      <c r="W33" s="432">
        <v>60</v>
      </c>
      <c r="X33" s="432">
        <v>59</v>
      </c>
      <c r="Y33" s="432">
        <v>60</v>
      </c>
      <c r="Z33" s="432">
        <v>60</v>
      </c>
      <c r="AA33" s="432">
        <v>75</v>
      </c>
      <c r="AB33" s="432">
        <v>71</v>
      </c>
      <c r="AC33" s="432">
        <v>65</v>
      </c>
      <c r="AD33" s="432">
        <v>65</v>
      </c>
      <c r="AE33" s="432">
        <v>65</v>
      </c>
      <c r="AF33" s="687">
        <v>50</v>
      </c>
      <c r="AG33" s="764">
        <f>'CO '!AG33</f>
        <v>50</v>
      </c>
      <c r="AH33" s="1019">
        <f>'CO '!AH33</f>
        <v>55</v>
      </c>
      <c r="AI33" s="764">
        <f>'CO '!AI33</f>
        <v>56.387999999999998</v>
      </c>
      <c r="AJ33" s="858">
        <v>50</v>
      </c>
      <c r="AK33" s="858">
        <v>50</v>
      </c>
      <c r="AL33" s="1016"/>
      <c r="AM33" s="273">
        <f>(AL33-AI33)/AI33</f>
        <v>-1</v>
      </c>
    </row>
    <row r="34" spans="1:39" ht="14.25" x14ac:dyDescent="0.2">
      <c r="A34" s="624" t="s">
        <v>7</v>
      </c>
      <c r="B34" s="509">
        <v>6</v>
      </c>
      <c r="C34" s="432">
        <v>4</v>
      </c>
      <c r="D34" s="432">
        <v>24</v>
      </c>
      <c r="E34" s="432">
        <v>27</v>
      </c>
      <c r="F34" s="432">
        <v>25</v>
      </c>
      <c r="G34" s="432">
        <v>25</v>
      </c>
      <c r="H34" s="432">
        <v>25</v>
      </c>
      <c r="I34" s="432">
        <v>25</v>
      </c>
      <c r="J34" s="432">
        <v>25</v>
      </c>
      <c r="K34" s="432">
        <v>25</v>
      </c>
      <c r="L34" s="687">
        <v>10</v>
      </c>
      <c r="M34" s="509">
        <v>10</v>
      </c>
      <c r="N34" s="432">
        <v>10</v>
      </c>
      <c r="O34" s="432">
        <v>10</v>
      </c>
      <c r="P34" s="432">
        <v>10</v>
      </c>
      <c r="Q34" s="432">
        <v>10</v>
      </c>
      <c r="R34" s="432">
        <v>10</v>
      </c>
      <c r="S34" s="432">
        <v>10</v>
      </c>
      <c r="T34" s="432">
        <v>10</v>
      </c>
      <c r="U34" s="432">
        <v>10</v>
      </c>
      <c r="V34" s="432">
        <v>10</v>
      </c>
      <c r="W34" s="432">
        <v>10</v>
      </c>
      <c r="X34" s="432">
        <v>10</v>
      </c>
      <c r="Y34" s="432">
        <v>10</v>
      </c>
      <c r="Z34" s="432">
        <v>10</v>
      </c>
      <c r="AA34" s="432">
        <v>10</v>
      </c>
      <c r="AB34" s="432">
        <v>10</v>
      </c>
      <c r="AC34" s="432">
        <v>10</v>
      </c>
      <c r="AD34" s="432">
        <v>10</v>
      </c>
      <c r="AE34" s="432">
        <v>10</v>
      </c>
      <c r="AF34" s="687">
        <v>10</v>
      </c>
      <c r="AG34" s="764">
        <f>'CO '!AG34</f>
        <v>10</v>
      </c>
      <c r="AH34" s="1019">
        <f>'CO '!AH34</f>
        <v>10</v>
      </c>
      <c r="AI34" s="764">
        <f>'CO '!AI34</f>
        <v>10</v>
      </c>
      <c r="AJ34" s="858">
        <v>10</v>
      </c>
      <c r="AK34" s="858">
        <v>10</v>
      </c>
      <c r="AL34" s="858"/>
      <c r="AM34" s="273">
        <f>(AL34-AI34)/AI34</f>
        <v>-1</v>
      </c>
    </row>
    <row r="35" spans="1:39" ht="14.25" x14ac:dyDescent="0.2">
      <c r="A35" s="624" t="s">
        <v>8</v>
      </c>
      <c r="B35" s="509">
        <v>40</v>
      </c>
      <c r="C35" s="432">
        <v>45</v>
      </c>
      <c r="D35" s="432">
        <v>45</v>
      </c>
      <c r="E35" s="432">
        <v>55</v>
      </c>
      <c r="F35" s="432">
        <v>45</v>
      </c>
      <c r="G35" s="432">
        <v>45</v>
      </c>
      <c r="H35" s="432">
        <v>45</v>
      </c>
      <c r="I35" s="432">
        <v>50.34399999999998</v>
      </c>
      <c r="J35" s="432">
        <v>51.763999999999996</v>
      </c>
      <c r="K35" s="432">
        <v>52.63</v>
      </c>
      <c r="L35" s="687">
        <v>53</v>
      </c>
      <c r="M35" s="509">
        <v>33</v>
      </c>
      <c r="N35" s="432">
        <v>35</v>
      </c>
      <c r="O35" s="432">
        <v>53.1</v>
      </c>
      <c r="P35" s="432">
        <v>53</v>
      </c>
      <c r="Q35" s="432">
        <v>53</v>
      </c>
      <c r="R35" s="432">
        <v>53.63</v>
      </c>
      <c r="S35" s="432">
        <v>46.55</v>
      </c>
      <c r="T35" s="432">
        <v>42.55</v>
      </c>
      <c r="U35" s="432">
        <v>41.78</v>
      </c>
      <c r="V35" s="432">
        <v>41.28</v>
      </c>
      <c r="W35" s="432">
        <v>42.36</v>
      </c>
      <c r="X35" s="432">
        <v>43.13</v>
      </c>
      <c r="Y35" s="432">
        <v>50.86</v>
      </c>
      <c r="Z35" s="432">
        <v>53.46</v>
      </c>
      <c r="AA35" s="432">
        <v>53.72</v>
      </c>
      <c r="AB35" s="432">
        <v>54</v>
      </c>
      <c r="AC35" s="432">
        <v>48.725403999999997</v>
      </c>
      <c r="AD35" s="432">
        <v>48.52666</v>
      </c>
      <c r="AE35" s="432">
        <v>49.48</v>
      </c>
      <c r="AF35" s="687">
        <f>AF21*0.01</f>
        <v>50.54</v>
      </c>
      <c r="AG35" s="764">
        <f>'CO '!AG35</f>
        <v>50.81</v>
      </c>
      <c r="AH35" s="1019">
        <f>'CO '!AH35</f>
        <v>51.550000000000004</v>
      </c>
      <c r="AI35" s="764">
        <f>'CO '!AI35</f>
        <v>52.05959</v>
      </c>
      <c r="AJ35" s="858">
        <f>AJ21*0.01</f>
        <v>48.956697599999998</v>
      </c>
      <c r="AK35" s="858">
        <f>AK21*0.01</f>
        <v>48.06165</v>
      </c>
      <c r="AL35" s="858">
        <f>AL21*0.01</f>
        <v>45.127400000000002</v>
      </c>
      <c r="AM35" s="273">
        <f>(AL35-AI35)/AI35</f>
        <v>-0.13315875134629371</v>
      </c>
    </row>
    <row r="36" spans="1:39" ht="15" x14ac:dyDescent="0.2">
      <c r="A36" s="624"/>
      <c r="B36" s="509"/>
      <c r="C36" s="432"/>
      <c r="D36" s="432"/>
      <c r="E36" s="432"/>
      <c r="F36" s="432"/>
      <c r="G36" s="432"/>
      <c r="H36" s="432"/>
      <c r="I36" s="432"/>
      <c r="J36" s="432"/>
      <c r="K36" s="432"/>
      <c r="L36" s="687"/>
      <c r="M36" s="509"/>
      <c r="N36" s="432"/>
      <c r="O36" s="432"/>
      <c r="P36" s="432"/>
      <c r="Q36" s="432"/>
      <c r="R36" s="432"/>
      <c r="S36" s="432"/>
      <c r="T36" s="432"/>
      <c r="U36" s="432"/>
      <c r="V36" s="432"/>
      <c r="W36" s="432"/>
      <c r="X36" s="432"/>
      <c r="Y36" s="432"/>
      <c r="Z36" s="432"/>
      <c r="AA36" s="432"/>
      <c r="AB36" s="432"/>
      <c r="AC36" s="432"/>
      <c r="AD36" s="432"/>
      <c r="AE36" s="432"/>
      <c r="AF36" s="687"/>
      <c r="AG36" s="764">
        <f>'CO '!AG36</f>
        <v>0</v>
      </c>
      <c r="AH36" s="1019">
        <f>'CO '!AH36</f>
        <v>0</v>
      </c>
      <c r="AI36" s="764"/>
      <c r="AJ36" s="858"/>
      <c r="AK36" s="858"/>
      <c r="AL36" s="858"/>
      <c r="AM36" s="657"/>
    </row>
    <row r="37" spans="1:39" ht="15" x14ac:dyDescent="0.25">
      <c r="A37" s="627" t="s">
        <v>9</v>
      </c>
      <c r="B37" s="517">
        <v>1830</v>
      </c>
      <c r="C37" s="651">
        <v>2011</v>
      </c>
      <c r="D37" s="651">
        <v>1663</v>
      </c>
      <c r="E37" s="651">
        <v>1652</v>
      </c>
      <c r="F37" s="651">
        <v>610</v>
      </c>
      <c r="G37" s="651">
        <v>1205</v>
      </c>
      <c r="H37" s="651">
        <v>1211.0730000000001</v>
      </c>
      <c r="I37" s="651">
        <v>1420</v>
      </c>
      <c r="J37" s="651">
        <v>1550</v>
      </c>
      <c r="K37" s="651">
        <v>1540</v>
      </c>
      <c r="L37" s="686">
        <v>1735</v>
      </c>
      <c r="M37" s="517">
        <v>1706</v>
      </c>
      <c r="N37" s="651">
        <v>1000</v>
      </c>
      <c r="O37" s="651">
        <v>1145</v>
      </c>
      <c r="P37" s="651">
        <v>1285</v>
      </c>
      <c r="Q37" s="651">
        <v>1381</v>
      </c>
      <c r="R37" s="651">
        <v>1464</v>
      </c>
      <c r="S37" s="651">
        <v>760</v>
      </c>
      <c r="T37" s="651">
        <v>870</v>
      </c>
      <c r="U37" s="651">
        <v>980</v>
      </c>
      <c r="V37" s="651">
        <v>1070</v>
      </c>
      <c r="W37" s="651">
        <v>1065</v>
      </c>
      <c r="X37" s="651">
        <v>1240</v>
      </c>
      <c r="Y37" s="651">
        <v>1010</v>
      </c>
      <c r="Z37" s="651">
        <v>1155</v>
      </c>
      <c r="AA37" s="651">
        <v>1275</v>
      </c>
      <c r="AB37" s="651">
        <v>1568</v>
      </c>
      <c r="AC37" s="651">
        <v>1145</v>
      </c>
      <c r="AD37" s="651">
        <v>1110</v>
      </c>
      <c r="AE37" s="651">
        <v>1060</v>
      </c>
      <c r="AF37" s="686">
        <f t="shared" ref="AF37:AL37" si="5">AF38+AF39</f>
        <v>1360</v>
      </c>
      <c r="AG37" s="686">
        <f t="shared" si="5"/>
        <v>1384</v>
      </c>
      <c r="AH37" s="686">
        <f t="shared" si="5"/>
        <v>1411</v>
      </c>
      <c r="AI37" s="686">
        <f t="shared" si="5"/>
        <v>1510.9870000000001</v>
      </c>
      <c r="AJ37" s="686">
        <f t="shared" si="5"/>
        <v>1350</v>
      </c>
      <c r="AK37" s="686">
        <f t="shared" si="5"/>
        <v>1200</v>
      </c>
      <c r="AL37" s="686">
        <f t="shared" si="5"/>
        <v>0</v>
      </c>
      <c r="AM37" s="658">
        <f>(AL37-AI37)/AI37</f>
        <v>-1</v>
      </c>
    </row>
    <row r="38" spans="1:39" ht="14.25" x14ac:dyDescent="0.2">
      <c r="A38" s="633" t="s">
        <v>10</v>
      </c>
      <c r="B38" s="509">
        <v>1797</v>
      </c>
      <c r="C38" s="432">
        <v>1959</v>
      </c>
      <c r="D38" s="432">
        <v>1652</v>
      </c>
      <c r="E38" s="432">
        <v>1641</v>
      </c>
      <c r="F38" s="432">
        <v>600</v>
      </c>
      <c r="G38" s="432">
        <v>1200</v>
      </c>
      <c r="H38" s="432">
        <v>1205.4073000000001</v>
      </c>
      <c r="I38" s="432">
        <v>1415</v>
      </c>
      <c r="J38" s="432">
        <v>1540</v>
      </c>
      <c r="K38" s="432">
        <v>1520</v>
      </c>
      <c r="L38" s="687">
        <v>1720</v>
      </c>
      <c r="M38" s="509">
        <v>1693</v>
      </c>
      <c r="N38" s="432">
        <v>990</v>
      </c>
      <c r="O38" s="432">
        <v>1140</v>
      </c>
      <c r="P38" s="432">
        <v>1280</v>
      </c>
      <c r="Q38" s="432">
        <v>1375</v>
      </c>
      <c r="R38" s="432">
        <v>1459</v>
      </c>
      <c r="S38" s="432">
        <v>720</v>
      </c>
      <c r="T38" s="432">
        <v>770</v>
      </c>
      <c r="U38" s="432">
        <v>880</v>
      </c>
      <c r="V38" s="432">
        <v>975</v>
      </c>
      <c r="W38" s="432">
        <v>970</v>
      </c>
      <c r="X38" s="432">
        <v>1144</v>
      </c>
      <c r="Y38" s="432">
        <v>1000</v>
      </c>
      <c r="Z38" s="432">
        <v>1150</v>
      </c>
      <c r="AA38" s="432">
        <v>1250</v>
      </c>
      <c r="AB38" s="432">
        <v>1531</v>
      </c>
      <c r="AC38" s="432">
        <v>1130</v>
      </c>
      <c r="AD38" s="432">
        <v>1100</v>
      </c>
      <c r="AE38" s="432">
        <v>1050</v>
      </c>
      <c r="AF38" s="687">
        <v>1350</v>
      </c>
      <c r="AG38" s="764">
        <f>'CO '!AG38</f>
        <v>1370</v>
      </c>
      <c r="AH38" s="1019">
        <f>'CO '!AH38</f>
        <v>1390</v>
      </c>
      <c r="AI38" s="764">
        <f>'CO '!AI38</f>
        <v>1489.9770000000001</v>
      </c>
      <c r="AJ38" s="858">
        <v>1335</v>
      </c>
      <c r="AK38" s="858">
        <v>1180</v>
      </c>
      <c r="AL38" s="858"/>
      <c r="AM38" s="273">
        <f>(AL38-AI38)/AI38</f>
        <v>-1</v>
      </c>
    </row>
    <row r="39" spans="1:39" ht="14.25" x14ac:dyDescent="0.2">
      <c r="A39" s="633" t="s">
        <v>3</v>
      </c>
      <c r="B39" s="509">
        <v>33</v>
      </c>
      <c r="C39" s="432">
        <v>52</v>
      </c>
      <c r="D39" s="432">
        <v>11</v>
      </c>
      <c r="E39" s="432">
        <v>11</v>
      </c>
      <c r="F39" s="432">
        <v>10</v>
      </c>
      <c r="G39" s="432">
        <v>5</v>
      </c>
      <c r="H39" s="432">
        <v>5.6657000000000002</v>
      </c>
      <c r="I39" s="432">
        <v>5</v>
      </c>
      <c r="J39" s="432">
        <v>10</v>
      </c>
      <c r="K39" s="432">
        <v>20</v>
      </c>
      <c r="L39" s="687">
        <v>15</v>
      </c>
      <c r="M39" s="509">
        <v>13</v>
      </c>
      <c r="N39" s="432">
        <v>10</v>
      </c>
      <c r="O39" s="432">
        <v>5</v>
      </c>
      <c r="P39" s="432">
        <v>5</v>
      </c>
      <c r="Q39" s="432">
        <v>6</v>
      </c>
      <c r="R39" s="432">
        <v>5</v>
      </c>
      <c r="S39" s="432">
        <v>40</v>
      </c>
      <c r="T39" s="432">
        <v>100</v>
      </c>
      <c r="U39" s="432">
        <v>100</v>
      </c>
      <c r="V39" s="432">
        <v>95</v>
      </c>
      <c r="W39" s="432">
        <v>95</v>
      </c>
      <c r="X39" s="432">
        <v>96</v>
      </c>
      <c r="Y39" s="432">
        <v>10</v>
      </c>
      <c r="Z39" s="432">
        <v>5</v>
      </c>
      <c r="AA39" s="432">
        <v>25</v>
      </c>
      <c r="AB39" s="432">
        <v>37</v>
      </c>
      <c r="AC39" s="432">
        <v>15</v>
      </c>
      <c r="AD39" s="432">
        <v>10</v>
      </c>
      <c r="AE39" s="432">
        <v>10</v>
      </c>
      <c r="AF39" s="687">
        <v>10</v>
      </c>
      <c r="AG39" s="764">
        <f>'CO '!AG39</f>
        <v>14</v>
      </c>
      <c r="AH39" s="1019">
        <f>'CO '!AH39</f>
        <v>21</v>
      </c>
      <c r="AI39" s="764">
        <f>'CO '!AI39</f>
        <v>21.01</v>
      </c>
      <c r="AJ39" s="858">
        <v>15</v>
      </c>
      <c r="AK39" s="858">
        <v>20</v>
      </c>
      <c r="AL39" s="858"/>
      <c r="AM39" s="273">
        <f>(AL39-AI39)/AI39</f>
        <v>-1</v>
      </c>
    </row>
    <row r="40" spans="1:39" ht="18" x14ac:dyDescent="0.25">
      <c r="A40" s="631" t="s">
        <v>74</v>
      </c>
      <c r="B40" s="518">
        <v>4319</v>
      </c>
      <c r="C40" s="442">
        <v>4953</v>
      </c>
      <c r="D40" s="442">
        <v>5572</v>
      </c>
      <c r="E40" s="442">
        <v>6096</v>
      </c>
      <c r="F40" s="442">
        <v>5390</v>
      </c>
      <c r="G40" s="442">
        <v>5865</v>
      </c>
      <c r="H40" s="442">
        <v>5906.0730000000003</v>
      </c>
      <c r="I40" s="442">
        <v>5745.3440000000001</v>
      </c>
      <c r="J40" s="442">
        <v>5706.7640000000001</v>
      </c>
      <c r="K40" s="442">
        <v>5882.63</v>
      </c>
      <c r="L40" s="496">
        <v>6068</v>
      </c>
      <c r="M40" s="725">
        <v>6051</v>
      </c>
      <c r="N40" s="726">
        <v>5910</v>
      </c>
      <c r="O40" s="726">
        <v>5968.1</v>
      </c>
      <c r="P40" s="726">
        <v>6018</v>
      </c>
      <c r="Q40" s="726">
        <v>6089</v>
      </c>
      <c r="R40" s="726">
        <v>6256.63</v>
      </c>
      <c r="S40" s="726">
        <v>5336.55</v>
      </c>
      <c r="T40" s="726">
        <v>5212.55</v>
      </c>
      <c r="U40" s="726">
        <v>5381.78</v>
      </c>
      <c r="V40" s="726">
        <v>5346.28</v>
      </c>
      <c r="W40" s="726">
        <v>5477.36</v>
      </c>
      <c r="X40" s="726">
        <v>5677.13</v>
      </c>
      <c r="Y40" s="726">
        <v>5630.86</v>
      </c>
      <c r="Z40" s="726">
        <v>5828.46</v>
      </c>
      <c r="AA40" s="726">
        <v>6013.72</v>
      </c>
      <c r="AB40" s="726">
        <v>6343</v>
      </c>
      <c r="AC40" s="726">
        <v>5768.7254039999998</v>
      </c>
      <c r="AD40" s="726">
        <v>5833.5266600000004</v>
      </c>
      <c r="AE40" s="726">
        <v>5984.48</v>
      </c>
      <c r="AF40" s="758">
        <f t="shared" ref="AF40:AL40" si="6">AF31+AF37</f>
        <v>6330.54</v>
      </c>
      <c r="AG40" s="758">
        <f t="shared" si="6"/>
        <v>6329.81</v>
      </c>
      <c r="AH40" s="758">
        <f t="shared" si="6"/>
        <v>6327.55</v>
      </c>
      <c r="AI40" s="758">
        <f t="shared" si="6"/>
        <v>6409.4345899999998</v>
      </c>
      <c r="AJ40" s="758">
        <f t="shared" si="6"/>
        <v>6058.9566975999996</v>
      </c>
      <c r="AK40" s="758">
        <f t="shared" si="6"/>
        <v>5808.0616499999996</v>
      </c>
      <c r="AL40" s="758">
        <f t="shared" si="6"/>
        <v>45.127400000000002</v>
      </c>
      <c r="AM40" s="459">
        <f>(AL40-AI40)/AI40</f>
        <v>-0.99295922294450001</v>
      </c>
    </row>
    <row r="41" spans="1:39" x14ac:dyDescent="0.2">
      <c r="A41" s="634"/>
      <c r="B41" s="403"/>
      <c r="C41" s="236"/>
      <c r="D41" s="236"/>
      <c r="E41" s="236"/>
      <c r="F41" s="236"/>
      <c r="G41" s="236"/>
      <c r="H41" s="236"/>
      <c r="I41" s="236"/>
      <c r="J41" s="236"/>
      <c r="K41" s="236"/>
      <c r="L41" s="375"/>
      <c r="M41" s="403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652"/>
      <c r="AE41" s="652"/>
      <c r="AF41" s="853"/>
      <c r="AG41" s="853"/>
      <c r="AH41" s="853"/>
      <c r="AI41" s="853"/>
      <c r="AJ41" s="853"/>
      <c r="AK41" s="853"/>
      <c r="AL41" s="853"/>
      <c r="AM41" s="655"/>
    </row>
    <row r="42" spans="1:39" ht="21" x14ac:dyDescent="0.25">
      <c r="A42" s="631" t="s">
        <v>179</v>
      </c>
      <c r="B42" s="518">
        <v>354</v>
      </c>
      <c r="C42" s="442">
        <v>298</v>
      </c>
      <c r="D42" s="442">
        <v>272</v>
      </c>
      <c r="E42" s="442">
        <v>331</v>
      </c>
      <c r="F42" s="442">
        <v>210</v>
      </c>
      <c r="G42" s="442">
        <v>125.85</v>
      </c>
      <c r="H42" s="442">
        <v>285.52899999999954</v>
      </c>
      <c r="I42" s="442">
        <v>127.05599999999777</v>
      </c>
      <c r="J42" s="442">
        <v>205.16499999999905</v>
      </c>
      <c r="K42" s="442">
        <v>215.89899999999943</v>
      </c>
      <c r="L42" s="496">
        <v>207.77</v>
      </c>
      <c r="M42" s="518">
        <v>215</v>
      </c>
      <c r="N42" s="442">
        <v>205</v>
      </c>
      <c r="O42" s="442">
        <v>206.9</v>
      </c>
      <c r="P42" s="442">
        <v>157</v>
      </c>
      <c r="Q42" s="442">
        <v>70</v>
      </c>
      <c r="R42" s="442">
        <v>149.37</v>
      </c>
      <c r="S42" s="442">
        <v>138.44999999999999</v>
      </c>
      <c r="T42" s="442">
        <v>141.82</v>
      </c>
      <c r="U42" s="442">
        <v>145.22</v>
      </c>
      <c r="V42" s="442">
        <v>130.72</v>
      </c>
      <c r="W42" s="442">
        <v>107.64</v>
      </c>
      <c r="X42" s="442">
        <v>89.869999999999891</v>
      </c>
      <c r="Y42" s="442">
        <v>262.78000000000065</v>
      </c>
      <c r="Z42" s="442">
        <v>257.54000000000002</v>
      </c>
      <c r="AA42" s="442">
        <v>108.28</v>
      </c>
      <c r="AB42" s="442">
        <v>69</v>
      </c>
      <c r="AC42" s="442">
        <v>74.974995999999919</v>
      </c>
      <c r="AD42" s="442">
        <v>37.13933999999972</v>
      </c>
      <c r="AE42" s="442">
        <v>132.52000000000001</v>
      </c>
      <c r="AF42" s="496">
        <f t="shared" ref="AF42:AL42" si="7">AF27-AF40</f>
        <v>92.460000000000036</v>
      </c>
      <c r="AG42" s="496">
        <f t="shared" si="7"/>
        <v>50.1899999999996</v>
      </c>
      <c r="AH42" s="496">
        <f t="shared" si="7"/>
        <v>96.449999999999818</v>
      </c>
      <c r="AI42" s="496">
        <f t="shared" si="7"/>
        <v>50.374409999999443</v>
      </c>
      <c r="AJ42" s="496">
        <f t="shared" si="7"/>
        <v>106.90306239999973</v>
      </c>
      <c r="AK42" s="496">
        <f t="shared" si="7"/>
        <v>94.553350000000137</v>
      </c>
      <c r="AL42" s="496">
        <f t="shared" si="7"/>
        <v>4517.9870099999989</v>
      </c>
      <c r="AM42" s="459">
        <f>(AL42-AI42)/AI42</f>
        <v>88.688137488856924</v>
      </c>
    </row>
    <row r="43" spans="1:39" ht="14.25" x14ac:dyDescent="0.2">
      <c r="A43" s="624" t="s">
        <v>11</v>
      </c>
      <c r="B43" s="519"/>
      <c r="C43" s="653"/>
      <c r="D43" s="653">
        <v>207.92599999999999</v>
      </c>
      <c r="E43" s="653">
        <v>251.51300000000001</v>
      </c>
      <c r="F43" s="653"/>
      <c r="G43" s="653"/>
      <c r="H43" s="653">
        <v>192.77</v>
      </c>
      <c r="I43" s="653"/>
      <c r="J43" s="653"/>
      <c r="K43" s="653"/>
      <c r="L43" s="688"/>
      <c r="M43" s="519">
        <v>108</v>
      </c>
      <c r="N43" s="653"/>
      <c r="O43" s="653"/>
      <c r="P43" s="653"/>
      <c r="Q43" s="653"/>
      <c r="R43" s="653">
        <v>142</v>
      </c>
      <c r="S43" s="653"/>
      <c r="T43" s="653"/>
      <c r="U43" s="653"/>
      <c r="V43" s="653"/>
      <c r="W43" s="653"/>
      <c r="X43" s="653">
        <v>62</v>
      </c>
      <c r="Y43" s="653"/>
      <c r="Z43" s="653"/>
      <c r="AA43" s="653"/>
      <c r="AB43" s="653">
        <v>67</v>
      </c>
      <c r="AC43" s="653"/>
      <c r="AD43" s="653"/>
      <c r="AE43" s="653"/>
      <c r="AF43" s="688"/>
      <c r="AG43" s="770"/>
      <c r="AH43" s="1019"/>
      <c r="AI43" s="770">
        <f>'CO '!AI43</f>
        <v>115.098</v>
      </c>
      <c r="AJ43" s="866"/>
      <c r="AK43" s="866"/>
      <c r="AL43" s="866"/>
      <c r="AM43" s="659"/>
    </row>
    <row r="44" spans="1:39" ht="14.25" x14ac:dyDescent="0.2">
      <c r="A44" s="624" t="s">
        <v>12</v>
      </c>
      <c r="B44" s="519"/>
      <c r="C44" s="653"/>
      <c r="D44" s="653"/>
      <c r="E44" s="653">
        <v>15</v>
      </c>
      <c r="F44" s="653"/>
      <c r="G44" s="653"/>
      <c r="H44" s="653">
        <v>28</v>
      </c>
      <c r="I44" s="653"/>
      <c r="J44" s="653"/>
      <c r="K44" s="653"/>
      <c r="L44" s="688"/>
      <c r="M44" s="519">
        <v>1</v>
      </c>
      <c r="N44" s="653"/>
      <c r="O44" s="653"/>
      <c r="P44" s="653"/>
      <c r="Q44" s="653"/>
      <c r="R44" s="653">
        <v>2</v>
      </c>
      <c r="S44" s="653"/>
      <c r="T44" s="653"/>
      <c r="U44" s="653"/>
      <c r="V44" s="653"/>
      <c r="W44" s="653"/>
      <c r="X44" s="653">
        <v>2</v>
      </c>
      <c r="Y44" s="653"/>
      <c r="Z44" s="653"/>
      <c r="AA44" s="653"/>
      <c r="AB44" s="653">
        <v>2</v>
      </c>
      <c r="AC44" s="653"/>
      <c r="AD44" s="653"/>
      <c r="AE44" s="653"/>
      <c r="AF44" s="688"/>
      <c r="AG44" s="770"/>
      <c r="AH44" s="1019"/>
      <c r="AI44" s="770">
        <f>'CO '!AI44</f>
        <v>6.7329999999999997</v>
      </c>
      <c r="AJ44" s="866"/>
      <c r="AK44" s="866"/>
      <c r="AL44" s="866"/>
      <c r="AM44" s="659"/>
    </row>
    <row r="45" spans="1:39" ht="14.25" x14ac:dyDescent="0.2">
      <c r="A45" s="624" t="s">
        <v>13</v>
      </c>
      <c r="B45" s="519"/>
      <c r="C45" s="653"/>
      <c r="D45" s="653"/>
      <c r="E45" s="653">
        <v>75</v>
      </c>
      <c r="F45" s="653"/>
      <c r="G45" s="653"/>
      <c r="H45" s="653">
        <v>65</v>
      </c>
      <c r="I45" s="653"/>
      <c r="J45" s="653"/>
      <c r="K45" s="653"/>
      <c r="L45" s="688"/>
      <c r="M45" s="519"/>
      <c r="N45" s="653"/>
      <c r="O45" s="653"/>
      <c r="P45" s="653"/>
      <c r="Q45" s="653"/>
      <c r="R45" s="653"/>
      <c r="S45" s="653"/>
      <c r="T45" s="653"/>
      <c r="U45" s="653"/>
      <c r="V45" s="653"/>
      <c r="W45" s="653"/>
      <c r="X45" s="653"/>
      <c r="Y45" s="653"/>
      <c r="Z45" s="653"/>
      <c r="AA45" s="653"/>
      <c r="AB45" s="653"/>
      <c r="AC45" s="653"/>
      <c r="AD45" s="653"/>
      <c r="AE45" s="653"/>
      <c r="AF45" s="688"/>
      <c r="AG45" s="770"/>
      <c r="AH45" s="1019"/>
      <c r="AI45" s="770"/>
      <c r="AJ45" s="866"/>
      <c r="AK45" s="866"/>
      <c r="AL45" s="866"/>
      <c r="AM45" s="659"/>
    </row>
    <row r="46" spans="1:39" ht="14.25" x14ac:dyDescent="0.2">
      <c r="A46" s="674" t="s">
        <v>176</v>
      </c>
      <c r="B46" s="660">
        <f>B42/B40</f>
        <v>8.1963417457744853E-2</v>
      </c>
      <c r="C46" s="661">
        <f t="shared" ref="C46:AE46" si="8">C42/C40</f>
        <v>6.0165556228548356E-2</v>
      </c>
      <c r="D46" s="661">
        <f t="shared" si="8"/>
        <v>4.8815506101938265E-2</v>
      </c>
      <c r="E46" s="661">
        <f t="shared" si="8"/>
        <v>5.429790026246719E-2</v>
      </c>
      <c r="F46" s="661">
        <f t="shared" si="8"/>
        <v>3.896103896103896E-2</v>
      </c>
      <c r="G46" s="661">
        <f t="shared" si="8"/>
        <v>2.1457800511508949E-2</v>
      </c>
      <c r="H46" s="661">
        <f t="shared" si="8"/>
        <v>4.8344983206269128E-2</v>
      </c>
      <c r="I46" s="661">
        <f t="shared" si="8"/>
        <v>2.2114602711342919E-2</v>
      </c>
      <c r="J46" s="661">
        <f t="shared" si="8"/>
        <v>3.5951197561349839E-2</v>
      </c>
      <c r="K46" s="661">
        <f t="shared" si="8"/>
        <v>3.6701101378124996E-2</v>
      </c>
      <c r="L46" s="689">
        <f t="shared" si="8"/>
        <v>3.4240276862228081E-2</v>
      </c>
      <c r="M46" s="660">
        <f t="shared" si="8"/>
        <v>3.5531317137663193E-2</v>
      </c>
      <c r="N46" s="661">
        <f t="shared" si="8"/>
        <v>3.4686971235194583E-2</v>
      </c>
      <c r="O46" s="661">
        <f t="shared" si="8"/>
        <v>3.4667649670749486E-2</v>
      </c>
      <c r="P46" s="661">
        <f t="shared" si="8"/>
        <v>2.6088401462279826E-2</v>
      </c>
      <c r="Q46" s="661">
        <f t="shared" si="8"/>
        <v>1.1496140581376253E-2</v>
      </c>
      <c r="R46" s="661">
        <f t="shared" si="8"/>
        <v>2.3873874593830866E-2</v>
      </c>
      <c r="S46" s="661">
        <f t="shared" si="8"/>
        <v>2.5943727689237427E-2</v>
      </c>
      <c r="T46" s="661">
        <f t="shared" si="8"/>
        <v>2.7207412878533538E-2</v>
      </c>
      <c r="U46" s="661">
        <f t="shared" si="8"/>
        <v>2.6983637383913874E-2</v>
      </c>
      <c r="V46" s="661">
        <f t="shared" si="8"/>
        <v>2.4450646056697369E-2</v>
      </c>
      <c r="W46" s="661">
        <f t="shared" si="8"/>
        <v>1.9651803058407701E-2</v>
      </c>
      <c r="X46" s="661">
        <f t="shared" si="8"/>
        <v>1.5830181799606474E-2</v>
      </c>
      <c r="Y46" s="661">
        <f t="shared" si="8"/>
        <v>4.6667826939401913E-2</v>
      </c>
      <c r="Z46" s="661">
        <f t="shared" si="8"/>
        <v>4.4186629058104547E-2</v>
      </c>
      <c r="AA46" s="661">
        <f t="shared" si="8"/>
        <v>1.8005494103483368E-2</v>
      </c>
      <c r="AB46" s="661">
        <f t="shared" si="8"/>
        <v>1.0878133375374429E-2</v>
      </c>
      <c r="AC46" s="661">
        <f t="shared" si="8"/>
        <v>1.2996804449733853E-2</v>
      </c>
      <c r="AD46" s="661">
        <f t="shared" si="8"/>
        <v>6.3665330021822029E-3</v>
      </c>
      <c r="AE46" s="661">
        <f t="shared" si="8"/>
        <v>2.2143945672806996E-2</v>
      </c>
      <c r="AF46" s="854"/>
      <c r="AG46" s="771"/>
      <c r="AH46" s="1019"/>
      <c r="AI46" s="771"/>
      <c r="AJ46" s="867"/>
      <c r="AK46" s="867"/>
      <c r="AL46" s="867"/>
      <c r="AM46" s="662"/>
    </row>
    <row r="47" spans="1:39" ht="14.25" x14ac:dyDescent="0.2">
      <c r="A47" s="707" t="s">
        <v>177</v>
      </c>
      <c r="B47" s="708"/>
      <c r="C47" s="708"/>
      <c r="D47" s="708"/>
      <c r="E47" s="708"/>
      <c r="F47" s="708"/>
      <c r="G47" s="708"/>
      <c r="H47" s="708"/>
      <c r="I47" s="708"/>
      <c r="J47" s="708"/>
      <c r="K47" s="708"/>
      <c r="L47" s="708"/>
      <c r="M47" s="708"/>
      <c r="N47" s="708"/>
      <c r="O47" s="708"/>
      <c r="P47" s="708"/>
      <c r="Q47" s="708"/>
      <c r="R47" s="708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ht="14.25" x14ac:dyDescent="0.2">
      <c r="A48" s="709" t="s">
        <v>180</v>
      </c>
    </row>
    <row r="49" spans="1:39" ht="14.25" x14ac:dyDescent="0.2">
      <c r="A49" s="707" t="s">
        <v>208</v>
      </c>
    </row>
    <row r="52" spans="1:39" x14ac:dyDescent="0.2">
      <c r="AB52" s="18"/>
    </row>
    <row r="53" spans="1:39" s="749" customFormat="1" ht="14.25" hidden="1" x14ac:dyDescent="0.2">
      <c r="A53" s="754" t="s">
        <v>46</v>
      </c>
      <c r="B53" s="753">
        <f t="shared" ref="B53:AE53" si="9">B20+B21+B23+B24-B31-B37-B42</f>
        <v>0</v>
      </c>
      <c r="C53" s="751">
        <f t="shared" si="9"/>
        <v>0</v>
      </c>
      <c r="D53" s="751">
        <f t="shared" si="9"/>
        <v>0</v>
      </c>
      <c r="E53" s="751">
        <f t="shared" si="9"/>
        <v>0</v>
      </c>
      <c r="F53" s="751">
        <f t="shared" si="9"/>
        <v>0</v>
      </c>
      <c r="G53" s="753">
        <f t="shared" si="9"/>
        <v>3.694822225952521E-13</v>
      </c>
      <c r="H53" s="751">
        <f t="shared" si="9"/>
        <v>0</v>
      </c>
      <c r="I53" s="753">
        <f t="shared" si="9"/>
        <v>1.8189894035458565E-12</v>
      </c>
      <c r="J53" s="751">
        <f t="shared" si="9"/>
        <v>0</v>
      </c>
      <c r="K53" s="751">
        <f t="shared" si="9"/>
        <v>0</v>
      </c>
      <c r="L53" s="753">
        <f t="shared" si="9"/>
        <v>4.2632564145606011E-13</v>
      </c>
      <c r="M53" s="753">
        <f t="shared" si="9"/>
        <v>0</v>
      </c>
      <c r="N53" s="751">
        <f t="shared" si="9"/>
        <v>0</v>
      </c>
      <c r="O53" s="753">
        <f t="shared" si="9"/>
        <v>-3.694822225952521E-13</v>
      </c>
      <c r="P53" s="751">
        <f t="shared" si="9"/>
        <v>0</v>
      </c>
      <c r="Q53" s="751">
        <f t="shared" si="9"/>
        <v>0</v>
      </c>
      <c r="R53" s="751">
        <f t="shared" si="9"/>
        <v>0</v>
      </c>
      <c r="S53" s="751">
        <f t="shared" si="9"/>
        <v>0</v>
      </c>
      <c r="T53" s="753">
        <f t="shared" si="9"/>
        <v>-2.8421709430404007E-13</v>
      </c>
      <c r="U53" s="753">
        <f t="shared" si="9"/>
        <v>2.5579538487363607E-13</v>
      </c>
      <c r="V53" s="753">
        <f t="shared" si="9"/>
        <v>2.5579538487363607E-13</v>
      </c>
      <c r="W53" s="753">
        <f t="shared" si="9"/>
        <v>3.2684965844964609E-13</v>
      </c>
      <c r="X53" s="751">
        <f t="shared" si="9"/>
        <v>0</v>
      </c>
      <c r="Y53" s="751">
        <f t="shared" si="9"/>
        <v>0</v>
      </c>
      <c r="Z53" s="751">
        <f t="shared" si="9"/>
        <v>0</v>
      </c>
      <c r="AA53" s="753">
        <f t="shared" si="9"/>
        <v>-2.5579538487363607E-13</v>
      </c>
      <c r="AB53" s="751">
        <f t="shared" si="9"/>
        <v>0</v>
      </c>
      <c r="AC53" s="751">
        <f t="shared" si="9"/>
        <v>0</v>
      </c>
      <c r="AD53" s="751">
        <f t="shared" si="9"/>
        <v>0</v>
      </c>
      <c r="AE53" s="753">
        <f t="shared" si="9"/>
        <v>4.2632564145606011E-13</v>
      </c>
      <c r="AF53" s="753"/>
      <c r="AG53" s="753"/>
      <c r="AH53" s="753"/>
      <c r="AI53" s="753"/>
      <c r="AJ53" s="753"/>
      <c r="AK53" s="753"/>
      <c r="AL53" s="753"/>
      <c r="AM53" s="751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AS54"/>
  <sheetViews>
    <sheetView showGridLines="0" zoomScaleNormal="100" zoomScaleSheetLayoutView="100" workbookViewId="0">
      <pane ySplit="3" topLeftCell="A25" activePane="bottomLeft" state="frozen"/>
      <selection pane="bottomLeft" activeCell="AP45" sqref="AP45"/>
    </sheetView>
  </sheetViews>
  <sheetFormatPr baseColWidth="10" defaultRowHeight="12.75" outlineLevelCol="3" x14ac:dyDescent="0.2"/>
  <cols>
    <col min="1" max="1" width="46.7109375" customWidth="1"/>
    <col min="2" max="5" width="13.7109375" hidden="1" customWidth="1" outlineLevel="2"/>
    <col min="6" max="6" width="12.42578125" hidden="1" customWidth="1" outlineLevel="3"/>
    <col min="7" max="7" width="16.85546875" hidden="1" customWidth="1" outlineLevel="3"/>
    <col min="8" max="8" width="13.7109375" hidden="1" customWidth="1" outlineLevel="2" collapsed="1"/>
    <col min="9" max="9" width="17.7109375" hidden="1" customWidth="1" outlineLevel="3"/>
    <col min="10" max="10" width="18.140625" hidden="1" customWidth="1" outlineLevel="3"/>
    <col min="11" max="11" width="14.42578125" hidden="1" customWidth="1" outlineLevel="3"/>
    <col min="12" max="12" width="14.85546875" hidden="1" customWidth="1" outlineLevel="3"/>
    <col min="13" max="13" width="13.7109375" hidden="1" customWidth="1" outlineLevel="2" collapsed="1"/>
    <col min="14" max="14" width="13.85546875" hidden="1" customWidth="1" outlineLevel="1" collapsed="1"/>
    <col min="15" max="15" width="15" hidden="1" customWidth="1" outlineLevel="1"/>
    <col min="16" max="16" width="14.140625" hidden="1" customWidth="1" outlineLevel="1"/>
    <col min="17" max="17" width="14.28515625" hidden="1" customWidth="1" outlineLevel="1"/>
    <col min="18" max="18" width="13.7109375" hidden="1" customWidth="1" collapsed="1"/>
    <col min="19" max="19" width="12.42578125" hidden="1" customWidth="1" outlineLevel="1"/>
    <col min="20" max="20" width="13.140625" hidden="1" customWidth="1" outlineLevel="1"/>
    <col min="21" max="21" width="12.42578125" hidden="1" customWidth="1" outlineLevel="1"/>
    <col min="22" max="22" width="13.42578125" hidden="1" customWidth="1" outlineLevel="1"/>
    <col min="23" max="23" width="12.42578125" hidden="1" customWidth="1" outlineLevel="1"/>
    <col min="24" max="24" width="13.7109375" hidden="1" customWidth="1" collapsed="1"/>
    <col min="25" max="25" width="15.28515625" hidden="1" customWidth="1" outlineLevel="1"/>
    <col min="26" max="27" width="12.42578125" hidden="1" customWidth="1" outlineLevel="1"/>
    <col min="28" max="28" width="13.42578125" hidden="1" customWidth="1" outlineLevel="1"/>
    <col min="29" max="29" width="13.7109375" customWidth="1" collapsed="1"/>
    <col min="30" max="30" width="12.85546875" hidden="1" customWidth="1" outlineLevel="1"/>
    <col min="31" max="31" width="13.42578125" hidden="1" customWidth="1" outlineLevel="1"/>
    <col min="32" max="35" width="13.28515625" hidden="1" customWidth="1" outlineLevel="1"/>
    <col min="36" max="36" width="13.7109375" customWidth="1" collapsed="1"/>
    <col min="37" max="37" width="13.28515625" hidden="1" customWidth="1" outlineLevel="1"/>
    <col min="38" max="40" width="13.7109375" hidden="1" customWidth="1" outlineLevel="1"/>
    <col min="41" max="41" width="13.7109375" customWidth="1" collapsed="1"/>
    <col min="42" max="43" width="13.7109375" customWidth="1"/>
    <col min="44" max="44" width="15.85546875" customWidth="1"/>
  </cols>
  <sheetData>
    <row r="1" spans="1:45" ht="60" customHeight="1" x14ac:dyDescent="0.2"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</row>
    <row r="2" spans="1:45" ht="20.25" customHeight="1" x14ac:dyDescent="0.3">
      <c r="A2" s="465" t="s">
        <v>0</v>
      </c>
      <c r="B2" s="466" t="s">
        <v>28</v>
      </c>
      <c r="C2" s="466" t="s">
        <v>75</v>
      </c>
      <c r="D2" s="466" t="s">
        <v>76</v>
      </c>
      <c r="E2" s="466" t="s">
        <v>108</v>
      </c>
      <c r="F2" s="466" t="s">
        <v>80</v>
      </c>
      <c r="G2" s="466" t="s">
        <v>138</v>
      </c>
      <c r="H2" s="466" t="s">
        <v>139</v>
      </c>
      <c r="I2" s="466" t="s">
        <v>81</v>
      </c>
      <c r="J2" s="466" t="s">
        <v>114</v>
      </c>
      <c r="K2" s="466" t="s">
        <v>114</v>
      </c>
      <c r="L2" s="482" t="s">
        <v>114</v>
      </c>
      <c r="M2" s="503" t="s">
        <v>114</v>
      </c>
      <c r="N2" s="466" t="s">
        <v>86</v>
      </c>
      <c r="O2" s="466" t="s">
        <v>49</v>
      </c>
      <c r="P2" s="466" t="s">
        <v>86</v>
      </c>
      <c r="Q2" s="466" t="s">
        <v>49</v>
      </c>
      <c r="R2" s="466" t="s">
        <v>144</v>
      </c>
      <c r="S2" s="466" t="s">
        <v>145</v>
      </c>
      <c r="T2" s="466" t="s">
        <v>145</v>
      </c>
      <c r="U2" s="466" t="s">
        <v>145</v>
      </c>
      <c r="V2" s="466" t="s">
        <v>148</v>
      </c>
      <c r="W2" s="466" t="s">
        <v>149</v>
      </c>
      <c r="X2" s="466" t="s">
        <v>150</v>
      </c>
      <c r="Y2" s="466" t="s">
        <v>51</v>
      </c>
      <c r="Z2" s="466" t="s">
        <v>51</v>
      </c>
      <c r="AA2" s="466" t="s">
        <v>51</v>
      </c>
      <c r="AB2" s="466" t="s">
        <v>152</v>
      </c>
      <c r="AC2" s="466" t="s">
        <v>102</v>
      </c>
      <c r="AD2" s="466" t="s">
        <v>154</v>
      </c>
      <c r="AE2" s="466" t="s">
        <v>155</v>
      </c>
      <c r="AF2" s="466" t="s">
        <v>155</v>
      </c>
      <c r="AG2" s="466" t="s">
        <v>155</v>
      </c>
      <c r="AH2" s="466" t="s">
        <v>155</v>
      </c>
      <c r="AI2" s="466" t="s">
        <v>155</v>
      </c>
      <c r="AJ2" s="466" t="s">
        <v>155</v>
      </c>
      <c r="AK2" s="466" t="s">
        <v>203</v>
      </c>
      <c r="AL2" s="466" t="s">
        <v>203</v>
      </c>
      <c r="AM2" s="466" t="s">
        <v>203</v>
      </c>
      <c r="AN2" s="466" t="s">
        <v>203</v>
      </c>
      <c r="AO2" s="466" t="s">
        <v>203</v>
      </c>
      <c r="AP2" s="466" t="s">
        <v>203</v>
      </c>
      <c r="AQ2" s="466" t="s">
        <v>250</v>
      </c>
      <c r="AR2" s="467" t="s">
        <v>53</v>
      </c>
    </row>
    <row r="3" spans="1:45" ht="20.25" customHeight="1" x14ac:dyDescent="0.2">
      <c r="A3" s="468"/>
      <c r="B3" s="412"/>
      <c r="C3" s="412"/>
      <c r="D3" s="412"/>
      <c r="E3" s="412"/>
      <c r="F3" s="413" t="s">
        <v>137</v>
      </c>
      <c r="G3" s="413" t="s">
        <v>111</v>
      </c>
      <c r="H3" s="412"/>
      <c r="I3" s="413" t="s">
        <v>82</v>
      </c>
      <c r="J3" s="413" t="s">
        <v>115</v>
      </c>
      <c r="K3" s="413" t="s">
        <v>140</v>
      </c>
      <c r="L3" s="483" t="s">
        <v>141</v>
      </c>
      <c r="M3" s="468"/>
      <c r="N3" s="415" t="s">
        <v>142</v>
      </c>
      <c r="O3" s="415" t="s">
        <v>71</v>
      </c>
      <c r="P3" s="415" t="s">
        <v>121</v>
      </c>
      <c r="Q3" s="415" t="s">
        <v>143</v>
      </c>
      <c r="R3" s="416"/>
      <c r="S3" s="415" t="s">
        <v>122</v>
      </c>
      <c r="T3" s="415" t="s">
        <v>146</v>
      </c>
      <c r="U3" s="415" t="s">
        <v>93</v>
      </c>
      <c r="V3" s="415" t="s">
        <v>147</v>
      </c>
      <c r="W3" s="415" t="s">
        <v>97</v>
      </c>
      <c r="X3" s="414"/>
      <c r="Y3" s="415" t="s">
        <v>151</v>
      </c>
      <c r="Z3" s="415" t="s">
        <v>100</v>
      </c>
      <c r="AA3" s="415" t="s">
        <v>101</v>
      </c>
      <c r="AB3" s="415" t="s">
        <v>134</v>
      </c>
      <c r="AC3" s="414"/>
      <c r="AD3" s="415" t="s">
        <v>105</v>
      </c>
      <c r="AE3" s="415" t="s">
        <v>134</v>
      </c>
      <c r="AF3" s="414" t="s">
        <v>156</v>
      </c>
      <c r="AG3" s="414" t="s">
        <v>190</v>
      </c>
      <c r="AH3" s="672" t="s">
        <v>198</v>
      </c>
      <c r="AI3" s="672" t="s">
        <v>207</v>
      </c>
      <c r="AJ3" s="672" t="s">
        <v>229</v>
      </c>
      <c r="AK3" s="414" t="s">
        <v>207</v>
      </c>
      <c r="AL3" s="672" t="s">
        <v>237</v>
      </c>
      <c r="AM3" s="672" t="s">
        <v>238</v>
      </c>
      <c r="AN3" s="672" t="s">
        <v>241</v>
      </c>
      <c r="AO3" s="672" t="s">
        <v>261</v>
      </c>
      <c r="AP3" s="672" t="s">
        <v>229</v>
      </c>
      <c r="AQ3" s="672" t="s">
        <v>262</v>
      </c>
      <c r="AR3" s="469"/>
    </row>
    <row r="4" spans="1:45" s="4" customFormat="1" ht="20.25" customHeight="1" x14ac:dyDescent="0.2">
      <c r="A4" s="470"/>
      <c r="B4" s="417"/>
      <c r="C4" s="417"/>
      <c r="D4" s="417"/>
      <c r="E4" s="417"/>
      <c r="F4" s="418"/>
      <c r="G4" s="418"/>
      <c r="H4" s="417"/>
      <c r="I4" s="418"/>
      <c r="J4" s="418"/>
      <c r="K4" s="418"/>
      <c r="L4" s="484"/>
      <c r="M4" s="470"/>
      <c r="N4" s="420"/>
      <c r="O4" s="420"/>
      <c r="P4" s="420"/>
      <c r="Q4" s="419"/>
      <c r="R4" s="420"/>
      <c r="S4" s="420"/>
      <c r="T4" s="420"/>
      <c r="U4" s="420"/>
      <c r="V4" s="420"/>
      <c r="W4" s="420"/>
      <c r="X4" s="419"/>
      <c r="Y4" s="420"/>
      <c r="Z4" s="420"/>
      <c r="AA4" s="420"/>
      <c r="AB4" s="420"/>
      <c r="AC4" s="419"/>
      <c r="AD4" s="420"/>
      <c r="AE4" s="420"/>
      <c r="AF4" s="419"/>
      <c r="AG4" s="772"/>
      <c r="AH4" s="772"/>
      <c r="AI4" s="772"/>
      <c r="AJ4" s="772"/>
      <c r="AK4" s="772"/>
      <c r="AL4" s="1361"/>
      <c r="AM4" s="1361"/>
      <c r="AN4" s="772"/>
      <c r="AO4" s="1654"/>
      <c r="AP4" s="772"/>
      <c r="AQ4" s="772"/>
      <c r="AR4" s="1592"/>
    </row>
    <row r="5" spans="1:45" s="4" customFormat="1" ht="20.25" customHeight="1" x14ac:dyDescent="0.2">
      <c r="A5" s="470"/>
      <c r="B5" s="417"/>
      <c r="C5" s="417"/>
      <c r="D5" s="417"/>
      <c r="E5" s="417"/>
      <c r="F5" s="418"/>
      <c r="G5" s="418"/>
      <c r="H5" s="417"/>
      <c r="I5" s="418"/>
      <c r="J5" s="418"/>
      <c r="K5" s="418"/>
      <c r="L5" s="484"/>
      <c r="M5" s="470"/>
      <c r="N5" s="420"/>
      <c r="O5" s="420"/>
      <c r="P5" s="420"/>
      <c r="Q5" s="419"/>
      <c r="R5" s="420"/>
      <c r="S5" s="420"/>
      <c r="T5" s="420"/>
      <c r="U5" s="420"/>
      <c r="V5" s="420"/>
      <c r="W5" s="420"/>
      <c r="X5" s="419"/>
      <c r="Y5" s="420"/>
      <c r="Z5" s="420"/>
      <c r="AA5" s="420"/>
      <c r="AB5" s="420"/>
      <c r="AC5" s="419"/>
      <c r="AD5" s="420"/>
      <c r="AE5" s="420"/>
      <c r="AF5" s="419"/>
      <c r="AG5" s="772"/>
      <c r="AH5" s="772"/>
      <c r="AI5" s="772"/>
      <c r="AJ5" s="772"/>
      <c r="AK5" s="772"/>
      <c r="AL5" s="1361"/>
      <c r="AM5" s="1361"/>
      <c r="AN5" s="772"/>
      <c r="AO5" s="1654"/>
      <c r="AP5" s="772"/>
      <c r="AQ5" s="772"/>
      <c r="AR5" s="1592"/>
    </row>
    <row r="6" spans="1:45" ht="18" customHeight="1" x14ac:dyDescent="0.25">
      <c r="A6" s="253" t="s">
        <v>1</v>
      </c>
      <c r="B6" s="155"/>
      <c r="C6" s="155"/>
      <c r="D6" s="155"/>
      <c r="E6" s="155"/>
      <c r="F6" s="156"/>
      <c r="G6" s="156"/>
      <c r="H6" s="155"/>
      <c r="I6" s="156"/>
      <c r="J6" s="156"/>
      <c r="K6" s="155" t="s">
        <v>54</v>
      </c>
      <c r="L6" s="485"/>
      <c r="M6" s="380"/>
      <c r="N6" s="156"/>
      <c r="O6" s="156"/>
      <c r="P6" s="156"/>
      <c r="Q6" s="155" t="s">
        <v>54</v>
      </c>
      <c r="R6" s="959" t="s">
        <v>54</v>
      </c>
      <c r="S6" s="156"/>
      <c r="T6" s="156"/>
      <c r="U6" s="156"/>
      <c r="V6" s="156"/>
      <c r="W6" s="156"/>
      <c r="X6" s="959" t="s">
        <v>54</v>
      </c>
      <c r="Y6" s="156"/>
      <c r="Z6" s="156"/>
      <c r="AA6" s="156"/>
      <c r="AB6" s="156"/>
      <c r="AC6" s="959" t="s">
        <v>55</v>
      </c>
      <c r="AD6" s="156"/>
      <c r="AE6" s="156"/>
      <c r="AF6" s="959" t="s">
        <v>55</v>
      </c>
      <c r="AG6" s="959" t="s">
        <v>55</v>
      </c>
      <c r="AH6" s="959" t="s">
        <v>55</v>
      </c>
      <c r="AI6" s="848"/>
      <c r="AJ6" s="848"/>
      <c r="AK6" s="848"/>
      <c r="AL6" s="1344"/>
      <c r="AM6" s="1344"/>
      <c r="AN6" s="848"/>
      <c r="AO6" s="1624"/>
      <c r="AP6" s="848"/>
      <c r="AQ6" s="848"/>
      <c r="AR6" s="1593"/>
    </row>
    <row r="7" spans="1:45" s="4" customFormat="1" ht="18" customHeight="1" x14ac:dyDescent="0.25">
      <c r="A7" s="271"/>
      <c r="B7" s="421"/>
      <c r="C7" s="421"/>
      <c r="D7" s="421"/>
      <c r="E7" s="421"/>
      <c r="F7" s="422"/>
      <c r="G7" s="422"/>
      <c r="H7" s="421"/>
      <c r="I7" s="422"/>
      <c r="J7" s="422"/>
      <c r="K7" s="421"/>
      <c r="L7" s="486"/>
      <c r="M7" s="504"/>
      <c r="N7" s="422"/>
      <c r="O7" s="422"/>
      <c r="P7" s="422"/>
      <c r="Q7" s="421"/>
      <c r="R7" s="422"/>
      <c r="S7" s="422"/>
      <c r="T7" s="422"/>
      <c r="U7" s="422"/>
      <c r="V7" s="422"/>
      <c r="W7" s="422"/>
      <c r="X7" s="727"/>
      <c r="Y7" s="422"/>
      <c r="Z7" s="422"/>
      <c r="AA7" s="422"/>
      <c r="AB7" s="422"/>
      <c r="AC7" s="997"/>
      <c r="AD7" s="422"/>
      <c r="AE7" s="422"/>
      <c r="AF7" s="1032"/>
      <c r="AG7" s="421"/>
      <c r="AH7" s="421"/>
      <c r="AI7" s="994"/>
      <c r="AJ7" s="997"/>
      <c r="AK7" s="969" t="s">
        <v>210</v>
      </c>
      <c r="AL7" s="1362"/>
      <c r="AM7" s="1362"/>
      <c r="AN7" s="997"/>
      <c r="AO7" s="1655"/>
      <c r="AP7" s="997"/>
      <c r="AQ7" s="997"/>
      <c r="AR7" s="1594"/>
    </row>
    <row r="8" spans="1:45" ht="15" x14ac:dyDescent="0.25">
      <c r="A8" s="256" t="s">
        <v>57</v>
      </c>
      <c r="B8" s="1172">
        <v>643.52800000000002</v>
      </c>
      <c r="C8" s="1175">
        <v>518.79</v>
      </c>
      <c r="D8" s="1175">
        <v>628.447</v>
      </c>
      <c r="E8" s="1175">
        <v>723.24400000000003</v>
      </c>
      <c r="F8" s="187">
        <v>694</v>
      </c>
      <c r="G8" s="187">
        <v>696.928</v>
      </c>
      <c r="H8" s="1175">
        <v>692.26499999999999</v>
      </c>
      <c r="I8" s="187">
        <v>739.995</v>
      </c>
      <c r="J8" s="187">
        <v>739.995</v>
      </c>
      <c r="K8" s="187">
        <v>740.96500000000003</v>
      </c>
      <c r="L8" s="487">
        <v>742</v>
      </c>
      <c r="M8" s="1173">
        <v>740.72199999999998</v>
      </c>
      <c r="N8" s="187">
        <v>682</v>
      </c>
      <c r="O8" s="187">
        <v>684</v>
      </c>
      <c r="P8" s="187">
        <v>684</v>
      </c>
      <c r="Q8" s="187">
        <v>681</v>
      </c>
      <c r="R8" s="1246">
        <v>679.97400000000005</v>
      </c>
      <c r="S8" s="454">
        <v>739</v>
      </c>
      <c r="T8" s="454">
        <v>759</v>
      </c>
      <c r="U8" s="454">
        <v>765</v>
      </c>
      <c r="V8" s="454">
        <v>772</v>
      </c>
      <c r="W8" s="454">
        <v>772</v>
      </c>
      <c r="X8" s="1246">
        <v>770.85199999999998</v>
      </c>
      <c r="Y8" s="454">
        <v>680</v>
      </c>
      <c r="Z8" s="454">
        <v>659</v>
      </c>
      <c r="AA8" s="454">
        <v>659</v>
      </c>
      <c r="AB8" s="454">
        <v>658</v>
      </c>
      <c r="AC8" s="454">
        <v>657.28800000000001</v>
      </c>
      <c r="AD8" s="454">
        <v>630</v>
      </c>
      <c r="AE8" s="454">
        <v>621</v>
      </c>
      <c r="AF8" s="1246">
        <v>617</v>
      </c>
      <c r="AG8" s="1246">
        <v>620</v>
      </c>
      <c r="AH8" s="1246">
        <v>618</v>
      </c>
      <c r="AI8" s="1247">
        <v>618</v>
      </c>
      <c r="AJ8" s="454">
        <v>619</v>
      </c>
      <c r="AK8" s="856">
        <v>556.96900000000005</v>
      </c>
      <c r="AL8" s="1363">
        <v>586.03</v>
      </c>
      <c r="AM8" s="1364">
        <v>572.97900000000004</v>
      </c>
      <c r="AN8" s="1338">
        <v>549.97900000000004</v>
      </c>
      <c r="AO8" s="1656">
        <v>541.47900000000004</v>
      </c>
      <c r="AP8" s="1338">
        <v>541.47900000000004</v>
      </c>
      <c r="AQ8" s="1338">
        <v>549.25800000000004</v>
      </c>
      <c r="AR8" s="1595">
        <f>AQ8/AP8-1</f>
        <v>1.4366208107793543E-2</v>
      </c>
    </row>
    <row r="9" spans="1:45" ht="15" x14ac:dyDescent="0.25">
      <c r="A9" s="256" t="s">
        <v>58</v>
      </c>
      <c r="B9" s="1021">
        <f t="shared" ref="B9:M9" si="0">B10/B8*10</f>
        <v>22.327839658880421</v>
      </c>
      <c r="C9" s="1176">
        <f t="shared" si="0"/>
        <v>25.24088744964244</v>
      </c>
      <c r="D9" s="1176">
        <f t="shared" si="0"/>
        <v>25.376348363505592</v>
      </c>
      <c r="E9" s="1176">
        <f t="shared" si="0"/>
        <v>23.730566724369645</v>
      </c>
      <c r="F9" s="968">
        <f t="shared" si="0"/>
        <v>23.904899135446684</v>
      </c>
      <c r="G9" s="968">
        <f t="shared" si="0"/>
        <v>23.451059506864411</v>
      </c>
      <c r="H9" s="1176">
        <f t="shared" si="0"/>
        <v>23.626674756054406</v>
      </c>
      <c r="I9" s="968">
        <f t="shared" si="0"/>
        <v>25.994702666909912</v>
      </c>
      <c r="J9" s="968">
        <f t="shared" si="0"/>
        <v>25.994702666909912</v>
      </c>
      <c r="K9" s="968">
        <f t="shared" si="0"/>
        <v>25.445493376880147</v>
      </c>
      <c r="L9" s="1012">
        <f t="shared" si="0"/>
        <v>25.4</v>
      </c>
      <c r="M9" s="1174">
        <f t="shared" si="0"/>
        <v>25.390159871044737</v>
      </c>
      <c r="N9" s="968">
        <f t="shared" ref="N9:AE9" si="1">N10/N8*10</f>
        <v>24.8</v>
      </c>
      <c r="O9" s="968">
        <f t="shared" si="1"/>
        <v>23.684210526315788</v>
      </c>
      <c r="P9" s="968">
        <f t="shared" si="1"/>
        <v>23.187134502923978</v>
      </c>
      <c r="Q9" s="968">
        <f t="shared" si="1"/>
        <v>23.274596182085169</v>
      </c>
      <c r="R9" s="1256">
        <f t="shared" si="1"/>
        <v>23.132531537970568</v>
      </c>
      <c r="S9" s="1257">
        <f t="shared" si="1"/>
        <v>24</v>
      </c>
      <c r="T9" s="1257">
        <f t="shared" si="1"/>
        <v>22.859025032938078</v>
      </c>
      <c r="U9" s="1257">
        <f t="shared" si="1"/>
        <v>20.091503267973856</v>
      </c>
      <c r="V9" s="1257">
        <f t="shared" si="1"/>
        <v>20.492227979274613</v>
      </c>
      <c r="W9" s="1257">
        <f t="shared" si="1"/>
        <v>20.090673575129536</v>
      </c>
      <c r="X9" s="1256">
        <f t="shared" si="1"/>
        <v>20.466873018426366</v>
      </c>
      <c r="Y9" s="1257">
        <f t="shared" si="1"/>
        <v>22</v>
      </c>
      <c r="Z9" s="1257">
        <f t="shared" si="1"/>
        <v>24.142640364188168</v>
      </c>
      <c r="AA9" s="1257">
        <f t="shared" si="1"/>
        <v>23.854324734446131</v>
      </c>
      <c r="AB9" s="1257">
        <f t="shared" si="1"/>
        <v>24.224924012158056</v>
      </c>
      <c r="AC9" s="1257">
        <f t="shared" si="1"/>
        <v>24.101915750782005</v>
      </c>
      <c r="AD9" s="1257">
        <f t="shared" si="1"/>
        <v>23.599999999999998</v>
      </c>
      <c r="AE9" s="1257">
        <f t="shared" si="1"/>
        <v>23</v>
      </c>
      <c r="AF9" s="1256">
        <v>20.88</v>
      </c>
      <c r="AG9" s="1256">
        <v>19.71</v>
      </c>
      <c r="AH9" s="1256">
        <v>19.149999999999999</v>
      </c>
      <c r="AI9" s="1258">
        <v>19.170000000000002</v>
      </c>
      <c r="AJ9" s="1257">
        <f>AJ10/AJ8*10</f>
        <v>19.174684975767367</v>
      </c>
      <c r="AK9" s="871">
        <f>AVERAGE(R9,AC9,X9)</f>
        <v>22.567106769059649</v>
      </c>
      <c r="AL9" s="1365">
        <f>AL10/AL8*10</f>
        <v>20.902854802655156</v>
      </c>
      <c r="AM9" s="1366">
        <v>21.348958687840224</v>
      </c>
      <c r="AN9" s="1339">
        <f>AN10/AN8*10</f>
        <v>21.633880566348896</v>
      </c>
      <c r="AO9" s="1657">
        <f>AO10/AO8*10</f>
        <v>21.84149893162985</v>
      </c>
      <c r="AP9" s="1339">
        <f>AP10/AP8*10</f>
        <v>21.84149893162985</v>
      </c>
      <c r="AQ9" s="1339">
        <f>AQ10/AQ8*10</f>
        <v>22.742463468898038</v>
      </c>
      <c r="AR9" s="1595">
        <f>AQ9/AP9-1</f>
        <v>4.1250123908091796E-2</v>
      </c>
    </row>
    <row r="10" spans="1:45" ht="15" x14ac:dyDescent="0.25">
      <c r="A10" s="256" t="s">
        <v>56</v>
      </c>
      <c r="B10" s="1172">
        <v>1436.8589999999999</v>
      </c>
      <c r="C10" s="1175">
        <v>1309.472</v>
      </c>
      <c r="D10" s="1175">
        <v>1594.769</v>
      </c>
      <c r="E10" s="1175">
        <v>1716.299</v>
      </c>
      <c r="F10" s="187">
        <v>1659</v>
      </c>
      <c r="G10" s="187">
        <v>1634.37</v>
      </c>
      <c r="H10" s="1175">
        <v>1635.5920000000001</v>
      </c>
      <c r="I10" s="187">
        <v>1923.595</v>
      </c>
      <c r="J10" s="187">
        <v>1923.595</v>
      </c>
      <c r="K10" s="187">
        <v>1885.422</v>
      </c>
      <c r="L10" s="487">
        <v>1884.68</v>
      </c>
      <c r="M10" s="1173">
        <v>1880.7049999999999</v>
      </c>
      <c r="N10" s="187">
        <v>1691.36</v>
      </c>
      <c r="O10" s="187">
        <v>1620</v>
      </c>
      <c r="P10" s="187">
        <v>1586</v>
      </c>
      <c r="Q10" s="187">
        <v>1585</v>
      </c>
      <c r="R10" s="1246">
        <v>1572.952</v>
      </c>
      <c r="S10" s="454">
        <v>1773.6</v>
      </c>
      <c r="T10" s="454">
        <v>1735</v>
      </c>
      <c r="U10" s="454">
        <v>1537</v>
      </c>
      <c r="V10" s="454">
        <v>1582</v>
      </c>
      <c r="W10" s="454">
        <v>1551</v>
      </c>
      <c r="X10" s="1246">
        <v>1577.693</v>
      </c>
      <c r="Y10" s="454">
        <v>1496</v>
      </c>
      <c r="Z10" s="454">
        <v>1591</v>
      </c>
      <c r="AA10" s="454">
        <v>1572</v>
      </c>
      <c r="AB10" s="454">
        <v>1594</v>
      </c>
      <c r="AC10" s="454">
        <v>1584.19</v>
      </c>
      <c r="AD10" s="454">
        <v>1486.8</v>
      </c>
      <c r="AE10" s="454">
        <v>1428.3</v>
      </c>
      <c r="AF10" s="1246">
        <v>1288</v>
      </c>
      <c r="AG10" s="1246">
        <v>1222</v>
      </c>
      <c r="AH10" s="1246">
        <v>1184</v>
      </c>
      <c r="AI10" s="1247">
        <f>AI8*AI9/10</f>
        <v>1184.7060000000001</v>
      </c>
      <c r="AJ10" s="454">
        <v>1186.913</v>
      </c>
      <c r="AK10" s="856">
        <f>(AK8*AK9)/10</f>
        <v>1256.9178890056385</v>
      </c>
      <c r="AL10" s="1367">
        <v>1224.97</v>
      </c>
      <c r="AM10" s="1354">
        <v>1223.2505000000001</v>
      </c>
      <c r="AN10" s="1304">
        <v>1189.818</v>
      </c>
      <c r="AO10" s="1658">
        <v>1182.6713</v>
      </c>
      <c r="AP10" s="1304">
        <v>1182.6713</v>
      </c>
      <c r="AQ10" s="1510">
        <v>1249.1479999999999</v>
      </c>
      <c r="AR10" s="1595">
        <f>AQ10/AP10-1</f>
        <v>5.6208939880421527E-2</v>
      </c>
      <c r="AS10" s="1004"/>
    </row>
    <row r="11" spans="1:45" ht="15" customHeight="1" x14ac:dyDescent="0.25">
      <c r="A11" s="256"/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487"/>
      <c r="M11" s="50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044"/>
      <c r="AG11" s="187"/>
      <c r="AH11" s="187"/>
      <c r="AI11" s="1075"/>
      <c r="AJ11" s="187"/>
      <c r="AK11" s="872"/>
      <c r="AL11" s="1367"/>
      <c r="AM11" s="1363"/>
      <c r="AN11" s="487"/>
      <c r="AO11" s="1659"/>
      <c r="AP11" s="487"/>
      <c r="AQ11" s="487"/>
      <c r="AR11" s="1595"/>
    </row>
    <row r="12" spans="1:45" ht="15" x14ac:dyDescent="0.2">
      <c r="A12" s="259" t="s">
        <v>60</v>
      </c>
      <c r="B12" s="175">
        <f>IF(B22="","",B10-B22)</f>
        <v>1435.9082797135975</v>
      </c>
      <c r="C12" s="174">
        <v>93</v>
      </c>
      <c r="D12" s="174">
        <v>172</v>
      </c>
      <c r="E12" s="174">
        <v>64.080999999999904</v>
      </c>
      <c r="F12" s="174">
        <v>59</v>
      </c>
      <c r="G12" s="174">
        <v>60.369999999999891</v>
      </c>
      <c r="H12" s="174">
        <v>109.96399999999994</v>
      </c>
      <c r="I12" s="174">
        <v>208.83</v>
      </c>
      <c r="J12" s="174">
        <v>208.83</v>
      </c>
      <c r="K12" s="174">
        <v>185.70700000000011</v>
      </c>
      <c r="L12" s="243">
        <v>179.68</v>
      </c>
      <c r="M12" s="386">
        <v>181.68</v>
      </c>
      <c r="N12" s="174">
        <v>191.36</v>
      </c>
      <c r="O12" s="174">
        <v>112</v>
      </c>
      <c r="P12" s="174">
        <v>127</v>
      </c>
      <c r="Q12" s="174">
        <v>96</v>
      </c>
      <c r="R12" s="175">
        <v>102</v>
      </c>
      <c r="S12" s="174">
        <v>141.88799999999992</v>
      </c>
      <c r="T12" s="174">
        <v>137</v>
      </c>
      <c r="U12" s="174">
        <v>104</v>
      </c>
      <c r="V12" s="174">
        <v>159</v>
      </c>
      <c r="W12" s="174">
        <v>149</v>
      </c>
      <c r="X12" s="175">
        <v>131</v>
      </c>
      <c r="Y12" s="174">
        <v>104.72</v>
      </c>
      <c r="Z12" s="174">
        <v>161</v>
      </c>
      <c r="AA12" s="174"/>
      <c r="AB12" s="174"/>
      <c r="AC12" s="175">
        <v>113</v>
      </c>
      <c r="AD12" s="174"/>
      <c r="AE12" s="174"/>
      <c r="AF12" s="1034">
        <v>130</v>
      </c>
      <c r="AG12" s="175">
        <f>AG10-AG21</f>
        <v>78</v>
      </c>
      <c r="AH12" s="175">
        <f>AH10-AH21</f>
        <v>39</v>
      </c>
      <c r="AI12" s="1073">
        <f>AI10-AI21</f>
        <v>46.706000000000131</v>
      </c>
      <c r="AJ12" s="175">
        <f>AJ10-AJ21</f>
        <v>63.324000000000069</v>
      </c>
      <c r="AK12" s="865"/>
      <c r="AL12" s="1346">
        <f t="shared" ref="AL12:AQ12" si="2">AL10-AL21</f>
        <v>90.970000000000027</v>
      </c>
      <c r="AM12" s="1347">
        <f t="shared" si="2"/>
        <v>61.072499999999991</v>
      </c>
      <c r="AN12" s="679">
        <f t="shared" si="2"/>
        <v>127.84799999999996</v>
      </c>
      <c r="AO12" s="1629">
        <f t="shared" si="2"/>
        <v>121.28678467835994</v>
      </c>
      <c r="AP12" s="679">
        <f>AP10-AP21</f>
        <v>116.67129999999997</v>
      </c>
      <c r="AQ12" s="1294">
        <f t="shared" si="2"/>
        <v>172.09199999999987</v>
      </c>
      <c r="AR12" s="1595">
        <f>AQ12/AP12-1</f>
        <v>0.4750157065190832</v>
      </c>
    </row>
    <row r="13" spans="1:45" ht="15" x14ac:dyDescent="0.2">
      <c r="A13" s="261" t="s">
        <v>61</v>
      </c>
      <c r="B13" s="427">
        <f>(B12/B10)</f>
        <v>0.99933833432062402</v>
      </c>
      <c r="C13" s="427">
        <v>93</v>
      </c>
      <c r="D13" s="427">
        <v>172</v>
      </c>
      <c r="E13" s="427">
        <v>64</v>
      </c>
      <c r="F13" s="427"/>
      <c r="G13" s="427"/>
      <c r="H13" s="387">
        <f>H12/H10</f>
        <v>6.7231925810348758E-2</v>
      </c>
      <c r="I13" s="428"/>
      <c r="J13" s="428"/>
      <c r="K13" s="428"/>
      <c r="L13" s="489"/>
      <c r="M13" s="387">
        <f>M12/M10</f>
        <v>9.6602072095304692E-2</v>
      </c>
      <c r="N13" s="182"/>
      <c r="O13" s="182"/>
      <c r="P13" s="182"/>
      <c r="Q13" s="182"/>
      <c r="R13" s="181">
        <f t="shared" ref="R13:AI13" si="3">R12/R10</f>
        <v>6.4846225441081484E-2</v>
      </c>
      <c r="S13" s="182">
        <f t="shared" si="3"/>
        <v>7.999999999999996E-2</v>
      </c>
      <c r="T13" s="182">
        <f t="shared" si="3"/>
        <v>7.8962536023054752E-2</v>
      </c>
      <c r="U13" s="182">
        <f t="shared" si="3"/>
        <v>6.7664281067013665E-2</v>
      </c>
      <c r="V13" s="182">
        <f t="shared" si="3"/>
        <v>0.10050568900126422</v>
      </c>
      <c r="W13" s="182">
        <f t="shared" si="3"/>
        <v>9.6067053513862022E-2</v>
      </c>
      <c r="X13" s="181">
        <f t="shared" si="3"/>
        <v>8.3032630556134815E-2</v>
      </c>
      <c r="Y13" s="182">
        <f t="shared" si="3"/>
        <v>6.9999999999999993E-2</v>
      </c>
      <c r="Z13" s="182">
        <f t="shared" si="3"/>
        <v>0.10119421747328725</v>
      </c>
      <c r="AA13" s="182">
        <f t="shared" si="3"/>
        <v>0</v>
      </c>
      <c r="AB13" s="182">
        <f t="shared" si="3"/>
        <v>0</v>
      </c>
      <c r="AC13" s="181">
        <f t="shared" si="3"/>
        <v>7.1329827861557005E-2</v>
      </c>
      <c r="AD13" s="182">
        <f t="shared" si="3"/>
        <v>0</v>
      </c>
      <c r="AE13" s="182">
        <f t="shared" si="3"/>
        <v>0</v>
      </c>
      <c r="AF13" s="1035">
        <f t="shared" si="3"/>
        <v>0.10093167701863354</v>
      </c>
      <c r="AG13" s="181">
        <f t="shared" si="3"/>
        <v>6.3829787234042548E-2</v>
      </c>
      <c r="AH13" s="181">
        <f t="shared" si="3"/>
        <v>3.2939189189189186E-2</v>
      </c>
      <c r="AI13" s="1069">
        <f t="shared" si="3"/>
        <v>3.9424127167415481E-2</v>
      </c>
      <c r="AJ13" s="181">
        <f>AJ12/AJ10</f>
        <v>5.3351846344256125E-2</v>
      </c>
      <c r="AK13" s="859"/>
      <c r="AL13" s="1348">
        <f t="shared" ref="AL13:AQ13" si="4">AL12/AL10</f>
        <v>7.4263043176567609E-2</v>
      </c>
      <c r="AM13" s="1349">
        <f t="shared" si="4"/>
        <v>4.9926405098546851E-2</v>
      </c>
      <c r="AN13" s="680">
        <f t="shared" si="4"/>
        <v>0.10745172791132758</v>
      </c>
      <c r="AO13" s="1630">
        <f t="shared" si="4"/>
        <v>0.10255324930803676</v>
      </c>
      <c r="AP13" s="680">
        <f>AP12/AP10</f>
        <v>9.8650656357349653E-2</v>
      </c>
      <c r="AQ13" s="1524">
        <f t="shared" si="4"/>
        <v>0.13776750232958776</v>
      </c>
      <c r="AR13" s="1595"/>
    </row>
    <row r="14" spans="1:45" ht="15" customHeight="1" x14ac:dyDescent="0.2">
      <c r="A14" s="1332"/>
      <c r="B14" s="429"/>
      <c r="C14" s="430"/>
      <c r="D14" s="221"/>
      <c r="E14" s="221"/>
      <c r="F14" s="221"/>
      <c r="G14" s="221"/>
      <c r="H14" s="221"/>
      <c r="I14" s="221"/>
      <c r="J14" s="221"/>
      <c r="K14" s="221"/>
      <c r="L14" s="490"/>
      <c r="M14" s="508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1045"/>
      <c r="AG14" s="221"/>
      <c r="AH14" s="221"/>
      <c r="AI14" s="1076"/>
      <c r="AJ14" s="221"/>
      <c r="AK14" s="873"/>
      <c r="AL14" s="1368"/>
      <c r="AM14" s="1369"/>
      <c r="AN14" s="490"/>
      <c r="AO14" s="1660"/>
      <c r="AP14" s="490"/>
      <c r="AQ14" s="1535"/>
      <c r="AR14" s="1595"/>
    </row>
    <row r="15" spans="1:45" ht="15" x14ac:dyDescent="0.2">
      <c r="A15" s="259" t="s">
        <v>44</v>
      </c>
      <c r="B15" s="431"/>
      <c r="C15" s="431"/>
      <c r="D15" s="431"/>
      <c r="E15" s="431"/>
      <c r="F15" s="431"/>
      <c r="G15" s="431"/>
      <c r="H15" s="431"/>
      <c r="I15" s="431">
        <v>1107.5709999999999</v>
      </c>
      <c r="J15" s="431">
        <v>1107.5709999999999</v>
      </c>
      <c r="K15" s="431">
        <v>1415.992</v>
      </c>
      <c r="L15" s="491"/>
      <c r="M15" s="509"/>
      <c r="N15" s="431"/>
      <c r="O15" s="431"/>
      <c r="P15" s="431"/>
      <c r="Q15" s="431"/>
      <c r="R15" s="431"/>
      <c r="S15" s="431"/>
      <c r="T15" s="431"/>
      <c r="U15" s="431">
        <v>1047</v>
      </c>
      <c r="V15" s="431">
        <v>1160</v>
      </c>
      <c r="W15" s="431">
        <v>1272</v>
      </c>
      <c r="X15" s="431"/>
      <c r="Y15" s="431"/>
      <c r="Z15" s="431"/>
      <c r="AA15" s="431">
        <v>1203</v>
      </c>
      <c r="AB15" s="431"/>
      <c r="AC15" s="845">
        <v>1463</v>
      </c>
      <c r="AD15" s="431"/>
      <c r="AE15" s="431"/>
      <c r="AF15" s="1046"/>
      <c r="AG15" s="431">
        <v>1002</v>
      </c>
      <c r="AH15" s="432">
        <v>1056</v>
      </c>
      <c r="AI15" s="1077">
        <v>1115</v>
      </c>
      <c r="AJ15" s="432"/>
      <c r="AK15" s="858"/>
      <c r="AL15" s="1370"/>
      <c r="AM15" s="1006"/>
      <c r="AN15" s="687"/>
      <c r="AO15" s="1632">
        <f>1051044.1/1000</f>
        <v>1051.0441000000001</v>
      </c>
      <c r="AP15" s="687"/>
      <c r="AQ15" s="1536">
        <f>1277.4/1000</f>
        <v>1.2774000000000001</v>
      </c>
      <c r="AR15" s="1595"/>
    </row>
    <row r="16" spans="1:45" ht="15" x14ac:dyDescent="0.2">
      <c r="A16" s="262" t="s">
        <v>192</v>
      </c>
      <c r="B16" s="182"/>
      <c r="C16" s="182"/>
      <c r="D16" s="182"/>
      <c r="E16" s="182"/>
      <c r="F16" s="182"/>
      <c r="G16" s="182"/>
      <c r="H16" s="182"/>
      <c r="I16" s="182">
        <v>0.57578180438189941</v>
      </c>
      <c r="J16" s="182">
        <v>0.57578180438189941</v>
      </c>
      <c r="K16" s="182">
        <v>0.75102125677964926</v>
      </c>
      <c r="L16" s="492"/>
      <c r="M16" s="387"/>
      <c r="N16" s="182"/>
      <c r="O16" s="182"/>
      <c r="P16" s="182"/>
      <c r="Q16" s="182"/>
      <c r="R16" s="182"/>
      <c r="S16" s="182"/>
      <c r="T16" s="182"/>
      <c r="U16" s="182">
        <v>0.68119713728041642</v>
      </c>
      <c r="V16" s="182">
        <v>0.73324905183312261</v>
      </c>
      <c r="W16" s="182">
        <v>0.82011605415860733</v>
      </c>
      <c r="X16" s="182"/>
      <c r="Y16" s="182"/>
      <c r="Z16" s="182"/>
      <c r="AA16" s="182">
        <v>0.76526717557251911</v>
      </c>
      <c r="AB16" s="182"/>
      <c r="AC16" s="790">
        <f>AC15/AC10</f>
        <v>0.92350033771201678</v>
      </c>
      <c r="AD16" s="182"/>
      <c r="AE16" s="182"/>
      <c r="AF16" s="1037">
        <f>AF15/AF10</f>
        <v>0</v>
      </c>
      <c r="AG16" s="181">
        <f>AG15/AG10</f>
        <v>0.81996726677577736</v>
      </c>
      <c r="AH16" s="181">
        <f>AH15/AH10</f>
        <v>0.89189189189189189</v>
      </c>
      <c r="AI16" s="1078">
        <f>AI15/AI10</f>
        <v>0.94116177346953578</v>
      </c>
      <c r="AJ16" s="181"/>
      <c r="AK16" s="859"/>
      <c r="AL16" s="1371"/>
      <c r="AM16" s="1349"/>
      <c r="AN16" s="680"/>
      <c r="AO16" s="1630">
        <f>AO15/AO10</f>
        <v>0.88870347999482202</v>
      </c>
      <c r="AP16" s="680"/>
      <c r="AQ16" s="1537">
        <f>AQ15/AQ10</f>
        <v>1.0226170157579407E-3</v>
      </c>
      <c r="AR16" s="1595"/>
    </row>
    <row r="17" spans="1:44" ht="15" x14ac:dyDescent="0.25">
      <c r="A17" s="262" t="s">
        <v>29</v>
      </c>
      <c r="B17" s="429"/>
      <c r="C17" s="433"/>
      <c r="D17" s="434"/>
      <c r="E17" s="434"/>
      <c r="F17" s="434"/>
      <c r="G17" s="434"/>
      <c r="H17" s="434"/>
      <c r="I17" s="435"/>
      <c r="J17" s="435"/>
      <c r="K17" s="435"/>
      <c r="L17" s="493"/>
      <c r="M17" s="510"/>
      <c r="N17" s="434"/>
      <c r="O17" s="434"/>
      <c r="P17" s="434"/>
      <c r="Q17" s="434"/>
      <c r="R17" s="434"/>
      <c r="S17" s="434"/>
      <c r="T17" s="434"/>
      <c r="U17" s="434"/>
      <c r="V17" s="434"/>
      <c r="W17" s="182">
        <v>0.90727532097004282</v>
      </c>
      <c r="X17" s="182"/>
      <c r="Y17" s="182"/>
      <c r="Z17" s="182"/>
      <c r="AA17" s="182">
        <v>0.84184744576627013</v>
      </c>
      <c r="AB17" s="182"/>
      <c r="AC17" s="790">
        <f>AC15/AC21</f>
        <v>0.98576801637601219</v>
      </c>
      <c r="AD17" s="182"/>
      <c r="AE17" s="182"/>
      <c r="AF17" s="1037">
        <f>AF15/AF21</f>
        <v>0</v>
      </c>
      <c r="AG17" s="181">
        <f>AG15/AG21</f>
        <v>0.87587412587412583</v>
      </c>
      <c r="AH17" s="181">
        <f>AH15/AH21</f>
        <v>0.9222707423580786</v>
      </c>
      <c r="AI17" s="1078">
        <f>AI15/AI21</f>
        <v>0.97978910369068539</v>
      </c>
      <c r="AJ17" s="181"/>
      <c r="AK17" s="859"/>
      <c r="AL17" s="1371"/>
      <c r="AM17" s="1349"/>
      <c r="AN17" s="680"/>
      <c r="AO17" s="1630">
        <f>AO15/AO21</f>
        <v>0.99025761618681007</v>
      </c>
      <c r="AP17" s="680"/>
      <c r="AQ17" s="1537">
        <f>AQ15/AQ21</f>
        <v>1.1860107552439242E-3</v>
      </c>
      <c r="AR17" s="1595"/>
    </row>
    <row r="18" spans="1:44" ht="15" x14ac:dyDescent="0.25">
      <c r="A18" s="262"/>
      <c r="B18" s="429"/>
      <c r="C18" s="433"/>
      <c r="D18" s="434"/>
      <c r="E18" s="434"/>
      <c r="F18" s="434"/>
      <c r="G18" s="434"/>
      <c r="H18" s="434"/>
      <c r="I18" s="435"/>
      <c r="J18" s="435"/>
      <c r="K18" s="435"/>
      <c r="L18" s="493"/>
      <c r="M18" s="510"/>
      <c r="N18" s="434"/>
      <c r="O18" s="434"/>
      <c r="P18" s="434"/>
      <c r="Q18" s="434"/>
      <c r="R18" s="434"/>
      <c r="S18" s="434"/>
      <c r="T18" s="434"/>
      <c r="U18" s="434"/>
      <c r="V18" s="434"/>
      <c r="W18" s="182"/>
      <c r="X18" s="182"/>
      <c r="Y18" s="182"/>
      <c r="Z18" s="182"/>
      <c r="AA18" s="182"/>
      <c r="AB18" s="182"/>
      <c r="AC18" s="182"/>
      <c r="AD18" s="182"/>
      <c r="AE18" s="182"/>
      <c r="AF18" s="1047"/>
      <c r="AG18" s="182"/>
      <c r="AH18" s="182"/>
      <c r="AI18" s="1079"/>
      <c r="AJ18" s="182"/>
      <c r="AK18" s="874"/>
      <c r="AL18" s="1372"/>
      <c r="AM18" s="1373"/>
      <c r="AN18" s="492"/>
      <c r="AO18" s="1661"/>
      <c r="AP18" s="492"/>
      <c r="AQ18" s="1538"/>
      <c r="AR18" s="1595"/>
    </row>
    <row r="19" spans="1:44" ht="15" x14ac:dyDescent="0.25">
      <c r="A19" s="455" t="s">
        <v>59</v>
      </c>
      <c r="B19" s="429"/>
      <c r="C19" s="433"/>
      <c r="D19" s="434"/>
      <c r="E19" s="434"/>
      <c r="F19" s="434"/>
      <c r="G19" s="434"/>
      <c r="H19" s="434"/>
      <c r="I19" s="434"/>
      <c r="J19" s="434"/>
      <c r="K19" s="434"/>
      <c r="L19" s="493"/>
      <c r="M19" s="510"/>
      <c r="N19" s="434"/>
      <c r="O19" s="434"/>
      <c r="P19" s="434"/>
      <c r="Q19" s="434"/>
      <c r="R19" s="434"/>
      <c r="S19" s="434"/>
      <c r="T19" s="434"/>
      <c r="U19" s="434"/>
      <c r="V19" s="434"/>
      <c r="W19" s="434"/>
      <c r="X19" s="434"/>
      <c r="Y19" s="434"/>
      <c r="Z19" s="434"/>
      <c r="AA19" s="434"/>
      <c r="AB19" s="434"/>
      <c r="AC19" s="434"/>
      <c r="AD19" s="434"/>
      <c r="AE19" s="434"/>
      <c r="AF19" s="1048"/>
      <c r="AG19" s="434"/>
      <c r="AH19" s="434"/>
      <c r="AI19" s="1080"/>
      <c r="AJ19" s="434"/>
      <c r="AK19" s="875"/>
      <c r="AL19" s="1374"/>
      <c r="AM19" s="1375"/>
      <c r="AN19" s="493"/>
      <c r="AO19" s="1662"/>
      <c r="AP19" s="493"/>
      <c r="AQ19" s="493"/>
      <c r="AR19" s="1595"/>
    </row>
    <row r="20" spans="1:44" ht="15" x14ac:dyDescent="0.25">
      <c r="A20" s="610" t="s">
        <v>2</v>
      </c>
      <c r="B20" s="1171">
        <v>113.09699999999999</v>
      </c>
      <c r="C20" s="203">
        <f>B43</f>
        <v>183.03697999999986</v>
      </c>
      <c r="D20" s="200">
        <f>C43</f>
        <v>100.91745999999966</v>
      </c>
      <c r="E20" s="199">
        <f>D43</f>
        <v>189.12289999999939</v>
      </c>
      <c r="F20" s="199">
        <v>240</v>
      </c>
      <c r="G20" s="199">
        <v>237.62599999999998</v>
      </c>
      <c r="H20" s="199">
        <f>E44</f>
        <v>189.33199999999999</v>
      </c>
      <c r="I20" s="199">
        <v>239</v>
      </c>
      <c r="J20" s="199">
        <v>230.62599999999998</v>
      </c>
      <c r="K20" s="199">
        <v>208.46900000000005</v>
      </c>
      <c r="L20" s="367">
        <v>208.46900000000005</v>
      </c>
      <c r="M20" s="393">
        <f>H43</f>
        <v>162.26590000000033</v>
      </c>
      <c r="N20" s="199">
        <v>206</v>
      </c>
      <c r="O20" s="199">
        <v>206</v>
      </c>
      <c r="P20" s="199">
        <v>206</v>
      </c>
      <c r="Q20" s="199">
        <v>206</v>
      </c>
      <c r="R20" s="200">
        <f>M43</f>
        <v>90.212380000000394</v>
      </c>
      <c r="S20" s="199">
        <v>310</v>
      </c>
      <c r="T20" s="199">
        <v>248.58</v>
      </c>
      <c r="U20" s="199">
        <v>249</v>
      </c>
      <c r="V20" s="199">
        <v>249</v>
      </c>
      <c r="W20" s="199">
        <v>249</v>
      </c>
      <c r="X20" s="200">
        <f>R43</f>
        <v>153.226</v>
      </c>
      <c r="Y20" s="199">
        <v>152.96</v>
      </c>
      <c r="Z20" s="199">
        <v>167.52</v>
      </c>
      <c r="AA20" s="199">
        <v>168</v>
      </c>
      <c r="AB20" s="199">
        <v>168</v>
      </c>
      <c r="AC20" s="200">
        <f>X43</f>
        <v>129.09199999999998</v>
      </c>
      <c r="AD20" s="199">
        <v>148.76</v>
      </c>
      <c r="AE20" s="199">
        <v>102</v>
      </c>
      <c r="AF20" s="1049">
        <v>101</v>
      </c>
      <c r="AG20" s="729">
        <v>101</v>
      </c>
      <c r="AH20" s="729">
        <v>101</v>
      </c>
      <c r="AI20" s="1081">
        <f>AC43</f>
        <v>79.405000000000001</v>
      </c>
      <c r="AJ20" s="200">
        <f>AC43</f>
        <v>79.405000000000001</v>
      </c>
      <c r="AK20" s="876">
        <v>34</v>
      </c>
      <c r="AL20" s="1352">
        <f>AJ43</f>
        <v>152.489</v>
      </c>
      <c r="AM20" s="1007">
        <f>AJ43</f>
        <v>152.489</v>
      </c>
      <c r="AN20" s="682">
        <f>AJ43</f>
        <v>152.489</v>
      </c>
      <c r="AO20" s="1635">
        <f>AJ43</f>
        <v>152.489</v>
      </c>
      <c r="AP20" s="851">
        <f>AJ43</f>
        <v>152.489</v>
      </c>
      <c r="AQ20" s="851">
        <f>AP43</f>
        <v>94</v>
      </c>
      <c r="AR20" s="1595">
        <f>AQ20/AP20-1</f>
        <v>-0.3835620930034298</v>
      </c>
    </row>
    <row r="21" spans="1:44" ht="15" x14ac:dyDescent="0.25">
      <c r="A21" s="611" t="s">
        <v>21</v>
      </c>
      <c r="B21" s="1171">
        <v>1366.0509999999999</v>
      </c>
      <c r="C21" s="1171">
        <v>1201.4259999999999</v>
      </c>
      <c r="D21" s="1171">
        <v>1404.6279999999999</v>
      </c>
      <c r="E21" s="1153">
        <v>1626.289</v>
      </c>
      <c r="F21" s="202">
        <v>1600</v>
      </c>
      <c r="G21" s="202">
        <v>1574</v>
      </c>
      <c r="H21" s="1153">
        <v>1530.8050000000001</v>
      </c>
      <c r="I21" s="436">
        <v>1714.7650000000001</v>
      </c>
      <c r="J21" s="436">
        <v>1714.7650000000001</v>
      </c>
      <c r="K21" s="436">
        <v>1699.7149999999999</v>
      </c>
      <c r="L21" s="368">
        <v>1705</v>
      </c>
      <c r="M21" s="1147">
        <v>1696.7260000000001</v>
      </c>
      <c r="N21" s="202">
        <v>1500</v>
      </c>
      <c r="O21" s="202">
        <v>1508</v>
      </c>
      <c r="P21" s="202">
        <v>1459</v>
      </c>
      <c r="Q21" s="202">
        <v>1489</v>
      </c>
      <c r="R21" s="1250">
        <v>1467.098</v>
      </c>
      <c r="S21" s="436">
        <v>1631.712</v>
      </c>
      <c r="T21" s="436">
        <v>1598</v>
      </c>
      <c r="U21" s="436">
        <v>1433</v>
      </c>
      <c r="V21" s="436">
        <v>1423</v>
      </c>
      <c r="W21" s="436">
        <v>1402</v>
      </c>
      <c r="X21" s="1250">
        <v>1406.8109999999999</v>
      </c>
      <c r="Y21" s="436">
        <v>1391.28</v>
      </c>
      <c r="Z21" s="436">
        <v>1430</v>
      </c>
      <c r="AA21" s="436">
        <v>1429</v>
      </c>
      <c r="AB21" s="436">
        <v>1494</v>
      </c>
      <c r="AC21" s="1250">
        <v>1484.1220000000001</v>
      </c>
      <c r="AD21" s="436">
        <v>1367.856</v>
      </c>
      <c r="AE21" s="436">
        <v>1314.0360000000001</v>
      </c>
      <c r="AF21" s="1250">
        <v>1158</v>
      </c>
      <c r="AG21" s="1250">
        <v>1144</v>
      </c>
      <c r="AH21" s="1250">
        <v>1145</v>
      </c>
      <c r="AI21" s="1251">
        <v>1138</v>
      </c>
      <c r="AJ21" s="1250">
        <v>1123.5889999999999</v>
      </c>
      <c r="AK21" s="864">
        <f>AK22*AK10</f>
        <v>1207.3649983104808</v>
      </c>
      <c r="AL21" s="1353">
        <v>1134</v>
      </c>
      <c r="AM21" s="1354">
        <v>1162.1780000000001</v>
      </c>
      <c r="AN21" s="1342">
        <v>1061.97</v>
      </c>
      <c r="AO21" s="1656">
        <f>1061384.51532164/1000</f>
        <v>1061.38451532164</v>
      </c>
      <c r="AP21" s="1733">
        <v>1066</v>
      </c>
      <c r="AQ21" s="1342">
        <v>1077.056</v>
      </c>
      <c r="AR21" s="1596">
        <f>AQ21/AP21-1</f>
        <v>1.0371482176360303E-2</v>
      </c>
    </row>
    <row r="22" spans="1:44" ht="15" x14ac:dyDescent="0.25">
      <c r="A22" s="262" t="s">
        <v>30</v>
      </c>
      <c r="B22" s="181">
        <f t="shared" ref="B22:AC22" si="5">B21/B10</f>
        <v>0.95072028640249318</v>
      </c>
      <c r="C22" s="181">
        <f t="shared" si="5"/>
        <v>0.91748888101463788</v>
      </c>
      <c r="D22" s="181">
        <f t="shared" si="5"/>
        <v>0.88077207420008785</v>
      </c>
      <c r="E22" s="181">
        <f t="shared" si="5"/>
        <v>0.94755575805847347</v>
      </c>
      <c r="F22" s="181">
        <f t="shared" si="5"/>
        <v>0.9644364074743822</v>
      </c>
      <c r="G22" s="181">
        <f t="shared" si="5"/>
        <v>0.96306221969321515</v>
      </c>
      <c r="H22" s="181">
        <f t="shared" si="5"/>
        <v>0.93593328898649542</v>
      </c>
      <c r="I22" s="181">
        <f t="shared" si="5"/>
        <v>0.89143764669797965</v>
      </c>
      <c r="J22" s="181">
        <f t="shared" si="5"/>
        <v>0.89143764669797965</v>
      </c>
      <c r="K22" s="181">
        <f t="shared" si="5"/>
        <v>0.90150374823249113</v>
      </c>
      <c r="L22" s="181">
        <f t="shared" si="5"/>
        <v>0.90466286053865907</v>
      </c>
      <c r="M22" s="181">
        <f t="shared" si="5"/>
        <v>0.90217551396949558</v>
      </c>
      <c r="N22" s="181">
        <f t="shared" si="5"/>
        <v>0.88686027811938328</v>
      </c>
      <c r="O22" s="181">
        <f t="shared" si="5"/>
        <v>0.93086419753086425</v>
      </c>
      <c r="P22" s="181">
        <f t="shared" si="5"/>
        <v>0.9199243379571248</v>
      </c>
      <c r="Q22" s="181">
        <f t="shared" si="5"/>
        <v>0.93943217665615142</v>
      </c>
      <c r="R22" s="181">
        <f t="shared" si="5"/>
        <v>0.93270360443293876</v>
      </c>
      <c r="S22" s="181">
        <f t="shared" si="5"/>
        <v>0.92</v>
      </c>
      <c r="T22" s="181">
        <f t="shared" si="5"/>
        <v>0.92103746397694519</v>
      </c>
      <c r="U22" s="181">
        <f t="shared" si="5"/>
        <v>0.93233571893298639</v>
      </c>
      <c r="V22" s="181">
        <f t="shared" si="5"/>
        <v>0.89949431099873578</v>
      </c>
      <c r="W22" s="181">
        <f t="shared" si="5"/>
        <v>0.90393294648613798</v>
      </c>
      <c r="X22" s="181">
        <f>X21/X10</f>
        <v>0.89168868721608063</v>
      </c>
      <c r="Y22" s="181">
        <f t="shared" si="5"/>
        <v>0.92999999999999994</v>
      </c>
      <c r="Z22" s="181">
        <f t="shared" si="5"/>
        <v>0.89880578252671273</v>
      </c>
      <c r="AA22" s="181">
        <f t="shared" si="5"/>
        <v>0.90903307888040707</v>
      </c>
      <c r="AB22" s="181">
        <f t="shared" si="5"/>
        <v>0.93726474278544547</v>
      </c>
      <c r="AC22" s="181">
        <f t="shared" si="5"/>
        <v>0.93683333438539573</v>
      </c>
      <c r="AD22" s="209">
        <v>0.92</v>
      </c>
      <c r="AE22" s="209">
        <v>0.92</v>
      </c>
      <c r="AF22" s="1035">
        <v>0.89906832298136641</v>
      </c>
      <c r="AG22" s="181">
        <f>AG21/AG10</f>
        <v>0.93617021276595747</v>
      </c>
      <c r="AH22" s="181">
        <f>AH21/AH10</f>
        <v>0.96706081081081086</v>
      </c>
      <c r="AI22" s="1069">
        <f>AI21/AI10</f>
        <v>0.9605758728325845</v>
      </c>
      <c r="AJ22" s="181">
        <f>AJ21/AJ10</f>
        <v>0.94664815365574384</v>
      </c>
      <c r="AK22" s="859">
        <f>AI22</f>
        <v>0.9605758728325845</v>
      </c>
      <c r="AL22" s="1348">
        <f t="shared" ref="AL22:AQ22" si="6">AL21/AL10</f>
        <v>0.92573695682343238</v>
      </c>
      <c r="AM22" s="1349">
        <f t="shared" si="6"/>
        <v>0.95007359490145316</v>
      </c>
      <c r="AN22" s="680">
        <f t="shared" si="6"/>
        <v>0.89254827208867238</v>
      </c>
      <c r="AO22" s="1630">
        <f t="shared" si="6"/>
        <v>0.89744675069196322</v>
      </c>
      <c r="AP22" s="680">
        <f>AP21/AP10</f>
        <v>0.9013493436426504</v>
      </c>
      <c r="AQ22" s="680">
        <f t="shared" si="6"/>
        <v>0.86223249767041221</v>
      </c>
      <c r="AR22" s="1596"/>
    </row>
    <row r="23" spans="1:44" ht="15" x14ac:dyDescent="0.25">
      <c r="A23" s="612" t="s">
        <v>31</v>
      </c>
      <c r="B23" s="742">
        <v>1</v>
      </c>
      <c r="C23" s="1205">
        <v>40</v>
      </c>
      <c r="D23" s="217">
        <v>65</v>
      </c>
      <c r="E23" s="217">
        <v>-22</v>
      </c>
      <c r="F23" s="215"/>
      <c r="G23" s="215"/>
      <c r="H23" s="438">
        <v>57</v>
      </c>
      <c r="I23" s="215"/>
      <c r="J23" s="215"/>
      <c r="K23" s="215"/>
      <c r="L23" s="494"/>
      <c r="M23" s="386">
        <v>-123</v>
      </c>
      <c r="N23" s="209"/>
      <c r="O23" s="209"/>
      <c r="P23" s="209"/>
      <c r="Q23" s="209"/>
      <c r="R23" s="175">
        <v>-77</v>
      </c>
      <c r="S23" s="209"/>
      <c r="T23" s="209"/>
      <c r="U23" s="209"/>
      <c r="V23" s="209"/>
      <c r="W23" s="215"/>
      <c r="X23" s="728">
        <v>95</v>
      </c>
      <c r="Y23" s="215"/>
      <c r="Z23" s="215"/>
      <c r="AA23" s="215"/>
      <c r="AB23" s="215"/>
      <c r="AC23" s="175">
        <v>15</v>
      </c>
      <c r="AD23" s="215"/>
      <c r="AE23" s="215"/>
      <c r="AF23" s="1050"/>
      <c r="AG23" s="730"/>
      <c r="AH23" s="730"/>
      <c r="AI23" s="1082"/>
      <c r="AJ23" s="175">
        <v>172</v>
      </c>
      <c r="AK23" s="877"/>
      <c r="AL23" s="1346"/>
      <c r="AM23" s="1347"/>
      <c r="AN23" s="679"/>
      <c r="AO23" s="1629"/>
      <c r="AP23" s="1739">
        <v>-74</v>
      </c>
      <c r="AQ23" s="679"/>
      <c r="AR23" s="1596"/>
    </row>
    <row r="24" spans="1:44" ht="15" x14ac:dyDescent="0.25">
      <c r="A24" s="455" t="s">
        <v>20</v>
      </c>
      <c r="B24" s="530">
        <f t="shared" ref="B24:AC24" si="7">B25+B26</f>
        <v>210.66399999999999</v>
      </c>
      <c r="C24" s="530">
        <f t="shared" si="7"/>
        <v>41.522000000000006</v>
      </c>
      <c r="D24" s="530">
        <f t="shared" si="7"/>
        <v>228.25899999999999</v>
      </c>
      <c r="E24" s="530">
        <f t="shared" si="7"/>
        <v>148.52199999999999</v>
      </c>
      <c r="F24" s="439">
        <f t="shared" si="7"/>
        <v>175</v>
      </c>
      <c r="G24" s="439">
        <f t="shared" si="7"/>
        <v>235</v>
      </c>
      <c r="H24" s="440">
        <f t="shared" si="7"/>
        <v>270.21300000000002</v>
      </c>
      <c r="I24" s="441">
        <f t="shared" si="7"/>
        <v>530</v>
      </c>
      <c r="J24" s="441">
        <f t="shared" si="7"/>
        <v>530</v>
      </c>
      <c r="K24" s="441">
        <f t="shared" si="7"/>
        <v>390</v>
      </c>
      <c r="L24" s="495">
        <f t="shared" si="7"/>
        <v>340</v>
      </c>
      <c r="M24" s="563">
        <f t="shared" si="7"/>
        <v>340.43299999999999</v>
      </c>
      <c r="N24" s="530">
        <f t="shared" si="7"/>
        <v>170</v>
      </c>
      <c r="O24" s="530">
        <f t="shared" si="7"/>
        <v>130</v>
      </c>
      <c r="P24" s="530">
        <f t="shared" si="7"/>
        <v>130</v>
      </c>
      <c r="Q24" s="530">
        <f t="shared" si="7"/>
        <v>180</v>
      </c>
      <c r="R24" s="530">
        <f t="shared" si="7"/>
        <v>239.64500000000001</v>
      </c>
      <c r="S24" s="530">
        <f t="shared" si="7"/>
        <v>170</v>
      </c>
      <c r="T24" s="530">
        <f t="shared" si="7"/>
        <v>490</v>
      </c>
      <c r="U24" s="530">
        <f t="shared" si="7"/>
        <v>440</v>
      </c>
      <c r="V24" s="530">
        <f t="shared" si="7"/>
        <v>450</v>
      </c>
      <c r="W24" s="530">
        <f t="shared" si="7"/>
        <v>460</v>
      </c>
      <c r="X24" s="530">
        <f t="shared" si="7"/>
        <v>475.12400000000002</v>
      </c>
      <c r="Y24" s="530">
        <f t="shared" si="7"/>
        <v>390</v>
      </c>
      <c r="Z24" s="530">
        <f t="shared" si="7"/>
        <v>300</v>
      </c>
      <c r="AA24" s="530">
        <f t="shared" si="7"/>
        <v>290</v>
      </c>
      <c r="AB24" s="530">
        <f t="shared" si="7"/>
        <v>269</v>
      </c>
      <c r="AC24" s="530">
        <f t="shared" si="7"/>
        <v>266.29300000000001</v>
      </c>
      <c r="AD24" s="530">
        <f t="shared" ref="AD24:AO24" si="8">AD25+AD26</f>
        <v>450</v>
      </c>
      <c r="AE24" s="530">
        <f t="shared" si="8"/>
        <v>400</v>
      </c>
      <c r="AF24" s="530">
        <f t="shared" si="8"/>
        <v>360</v>
      </c>
      <c r="AG24" s="756">
        <f t="shared" si="8"/>
        <v>250</v>
      </c>
      <c r="AH24" s="756">
        <f t="shared" si="8"/>
        <v>270</v>
      </c>
      <c r="AI24" s="756">
        <f t="shared" si="8"/>
        <v>270</v>
      </c>
      <c r="AJ24" s="530">
        <f t="shared" si="8"/>
        <v>235</v>
      </c>
      <c r="AK24" s="756">
        <f t="shared" si="8"/>
        <v>450</v>
      </c>
      <c r="AL24" s="1352">
        <f t="shared" si="8"/>
        <v>450</v>
      </c>
      <c r="AM24" s="1007">
        <f t="shared" si="8"/>
        <v>420</v>
      </c>
      <c r="AN24" s="756">
        <f t="shared" si="8"/>
        <v>550</v>
      </c>
      <c r="AO24" s="1635">
        <f t="shared" si="8"/>
        <v>510</v>
      </c>
      <c r="AP24" s="756">
        <f>AP25+AP26</f>
        <v>513.4</v>
      </c>
      <c r="AQ24" s="756">
        <f>AQ25+AQ26</f>
        <v>510</v>
      </c>
      <c r="AR24" s="1597">
        <f>AQ24/AP24-1</f>
        <v>-6.6225165562913135E-3</v>
      </c>
    </row>
    <row r="25" spans="1:44" ht="14.25" x14ac:dyDescent="0.2">
      <c r="A25" s="602" t="s">
        <v>214</v>
      </c>
      <c r="B25" s="1151">
        <v>158.233</v>
      </c>
      <c r="C25" s="1151">
        <v>34.139000000000003</v>
      </c>
      <c r="D25" s="1151">
        <v>86.201999999999998</v>
      </c>
      <c r="E25" s="1151">
        <v>106.07299999999999</v>
      </c>
      <c r="F25" s="221">
        <v>150</v>
      </c>
      <c r="G25" s="221">
        <v>175</v>
      </c>
      <c r="H25" s="1149">
        <v>206.072</v>
      </c>
      <c r="I25" s="221">
        <v>430</v>
      </c>
      <c r="J25" s="221">
        <v>430</v>
      </c>
      <c r="K25" s="221">
        <v>360</v>
      </c>
      <c r="L25" s="243">
        <v>330</v>
      </c>
      <c r="M25" s="1150">
        <v>334.63499999999999</v>
      </c>
      <c r="N25" s="174">
        <v>165</v>
      </c>
      <c r="O25" s="174">
        <v>120</v>
      </c>
      <c r="P25" s="174">
        <v>115</v>
      </c>
      <c r="Q25" s="174">
        <v>160</v>
      </c>
      <c r="R25" s="1206">
        <v>221.35900000000001</v>
      </c>
      <c r="S25" s="1259">
        <v>150</v>
      </c>
      <c r="T25" s="1259">
        <v>470</v>
      </c>
      <c r="U25" s="1259">
        <v>425</v>
      </c>
      <c r="V25" s="1259">
        <v>440</v>
      </c>
      <c r="W25" s="1259">
        <v>430</v>
      </c>
      <c r="X25" s="1206">
        <v>447.20400000000001</v>
      </c>
      <c r="Y25" s="1259">
        <v>380</v>
      </c>
      <c r="Z25" s="1259">
        <v>285</v>
      </c>
      <c r="AA25" s="1259">
        <v>280</v>
      </c>
      <c r="AB25" s="1259">
        <v>259</v>
      </c>
      <c r="AC25" s="1206">
        <v>255.196</v>
      </c>
      <c r="AD25" s="174">
        <v>440</v>
      </c>
      <c r="AE25" s="174">
        <v>390</v>
      </c>
      <c r="AF25" s="1034">
        <v>350</v>
      </c>
      <c r="AG25" s="175">
        <v>220</v>
      </c>
      <c r="AH25" s="175">
        <v>160</v>
      </c>
      <c r="AI25" s="1073">
        <v>160</v>
      </c>
      <c r="AJ25" s="1206">
        <v>181</v>
      </c>
      <c r="AK25" s="761">
        <v>150</v>
      </c>
      <c r="AL25" s="1346">
        <v>150</v>
      </c>
      <c r="AM25" s="1347">
        <v>300</v>
      </c>
      <c r="AN25" s="679">
        <v>350</v>
      </c>
      <c r="AO25" s="1629">
        <v>360</v>
      </c>
      <c r="AP25" s="1739">
        <v>363</v>
      </c>
      <c r="AQ25" s="679">
        <v>360</v>
      </c>
      <c r="AR25" s="1598">
        <f>AQ25/AP25-1</f>
        <v>-8.2644628099173278E-3</v>
      </c>
    </row>
    <row r="26" spans="1:44" ht="14.25" x14ac:dyDescent="0.2">
      <c r="A26" s="602" t="s">
        <v>3</v>
      </c>
      <c r="B26" s="1151">
        <v>52.430999999999997</v>
      </c>
      <c r="C26" s="1151">
        <v>7.383</v>
      </c>
      <c r="D26" s="1151">
        <v>142.05699999999999</v>
      </c>
      <c r="E26" s="1151">
        <v>42.448999999999998</v>
      </c>
      <c r="F26" s="221">
        <v>25</v>
      </c>
      <c r="G26" s="221">
        <v>60</v>
      </c>
      <c r="H26" s="1149">
        <v>64.141000000000005</v>
      </c>
      <c r="I26" s="221">
        <v>100</v>
      </c>
      <c r="J26" s="221">
        <v>100</v>
      </c>
      <c r="K26" s="221">
        <v>30</v>
      </c>
      <c r="L26" s="243">
        <v>10</v>
      </c>
      <c r="M26" s="1150">
        <v>5.798</v>
      </c>
      <c r="N26" s="174">
        <v>5</v>
      </c>
      <c r="O26" s="174">
        <v>10</v>
      </c>
      <c r="P26" s="174">
        <v>15</v>
      </c>
      <c r="Q26" s="174">
        <v>20</v>
      </c>
      <c r="R26" s="1206">
        <v>18.286000000000001</v>
      </c>
      <c r="S26" s="1259">
        <v>20</v>
      </c>
      <c r="T26" s="1259">
        <v>20</v>
      </c>
      <c r="U26" s="1259">
        <v>15</v>
      </c>
      <c r="V26" s="1259">
        <v>10</v>
      </c>
      <c r="W26" s="1259">
        <v>30</v>
      </c>
      <c r="X26" s="1206">
        <v>27.92</v>
      </c>
      <c r="Y26" s="1259">
        <v>10</v>
      </c>
      <c r="Z26" s="1259">
        <v>15</v>
      </c>
      <c r="AA26" s="1259">
        <v>10</v>
      </c>
      <c r="AB26" s="1259">
        <v>10</v>
      </c>
      <c r="AC26" s="1206">
        <v>11.097</v>
      </c>
      <c r="AD26" s="174">
        <v>10</v>
      </c>
      <c r="AE26" s="174">
        <v>10</v>
      </c>
      <c r="AF26" s="1034">
        <v>10</v>
      </c>
      <c r="AG26" s="175">
        <v>30</v>
      </c>
      <c r="AH26" s="175">
        <v>110</v>
      </c>
      <c r="AI26" s="1073">
        <v>110</v>
      </c>
      <c r="AJ26" s="1206">
        <v>54</v>
      </c>
      <c r="AK26" s="761">
        <v>300</v>
      </c>
      <c r="AL26" s="1346">
        <v>300</v>
      </c>
      <c r="AM26" s="1347">
        <v>120</v>
      </c>
      <c r="AN26" s="679">
        <v>200</v>
      </c>
      <c r="AO26" s="1629">
        <v>150</v>
      </c>
      <c r="AP26" s="679">
        <v>150.4</v>
      </c>
      <c r="AQ26" s="679">
        <v>150</v>
      </c>
      <c r="AR26" s="1598">
        <f>AQ26/AP26-1</f>
        <v>-2.6595744680851796E-3</v>
      </c>
    </row>
    <row r="27" spans="1:44" ht="18" x14ac:dyDescent="0.25">
      <c r="A27" s="151" t="s">
        <v>4</v>
      </c>
      <c r="B27" s="442">
        <f>B20+B21+B24+B23+B23</f>
        <v>1691.8119999999999</v>
      </c>
      <c r="C27" s="442">
        <f t="shared" ref="C27:AC27" si="9">C20+C21+C24+C23</f>
        <v>1465.9849799999997</v>
      </c>
      <c r="D27" s="442">
        <f t="shared" si="9"/>
        <v>1798.8044599999996</v>
      </c>
      <c r="E27" s="442">
        <f t="shared" si="9"/>
        <v>1941.9338999999993</v>
      </c>
      <c r="F27" s="442">
        <f t="shared" si="9"/>
        <v>2015</v>
      </c>
      <c r="G27" s="442">
        <f t="shared" si="9"/>
        <v>2046.626</v>
      </c>
      <c r="H27" s="442">
        <f t="shared" si="9"/>
        <v>2047.3500000000001</v>
      </c>
      <c r="I27" s="442">
        <f t="shared" si="9"/>
        <v>2483.7650000000003</v>
      </c>
      <c r="J27" s="442">
        <f t="shared" si="9"/>
        <v>2475.3910000000001</v>
      </c>
      <c r="K27" s="442">
        <f t="shared" si="9"/>
        <v>2298.1840000000002</v>
      </c>
      <c r="L27" s="496">
        <f t="shared" si="9"/>
        <v>2253.4690000000001</v>
      </c>
      <c r="M27" s="723">
        <f t="shared" si="9"/>
        <v>2076.4249000000004</v>
      </c>
      <c r="N27" s="726">
        <f t="shared" si="9"/>
        <v>1876</v>
      </c>
      <c r="O27" s="726">
        <f t="shared" si="9"/>
        <v>1844</v>
      </c>
      <c r="P27" s="726">
        <f t="shared" si="9"/>
        <v>1795</v>
      </c>
      <c r="Q27" s="726">
        <f t="shared" si="9"/>
        <v>1875</v>
      </c>
      <c r="R27" s="726">
        <f t="shared" si="9"/>
        <v>1719.9553800000003</v>
      </c>
      <c r="S27" s="726">
        <f t="shared" si="9"/>
        <v>2111.712</v>
      </c>
      <c r="T27" s="726">
        <f t="shared" si="9"/>
        <v>2336.58</v>
      </c>
      <c r="U27" s="726">
        <f t="shared" si="9"/>
        <v>2122</v>
      </c>
      <c r="V27" s="726">
        <f t="shared" si="9"/>
        <v>2122</v>
      </c>
      <c r="W27" s="726">
        <f t="shared" si="9"/>
        <v>2111</v>
      </c>
      <c r="X27" s="726">
        <f t="shared" si="9"/>
        <v>2130.1610000000001</v>
      </c>
      <c r="Y27" s="726">
        <f t="shared" si="9"/>
        <v>1934.24</v>
      </c>
      <c r="Z27" s="726">
        <f t="shared" si="9"/>
        <v>1897.52</v>
      </c>
      <c r="AA27" s="726">
        <f t="shared" si="9"/>
        <v>1887</v>
      </c>
      <c r="AB27" s="726">
        <f t="shared" si="9"/>
        <v>1931</v>
      </c>
      <c r="AC27" s="726">
        <f t="shared" si="9"/>
        <v>1894.5070000000001</v>
      </c>
      <c r="AD27" s="726">
        <f t="shared" ref="AD27:AJ27" si="10">AD20+AD21+AD24+AD23</f>
        <v>1966.616</v>
      </c>
      <c r="AE27" s="726">
        <f t="shared" si="10"/>
        <v>1816.0360000000001</v>
      </c>
      <c r="AF27" s="726">
        <f t="shared" si="10"/>
        <v>1619</v>
      </c>
      <c r="AG27" s="758">
        <f t="shared" si="10"/>
        <v>1495</v>
      </c>
      <c r="AH27" s="758">
        <f t="shared" si="10"/>
        <v>1516</v>
      </c>
      <c r="AI27" s="758">
        <f t="shared" si="10"/>
        <v>1487.405</v>
      </c>
      <c r="AJ27" s="726">
        <f t="shared" si="10"/>
        <v>1609.9939999999999</v>
      </c>
      <c r="AK27" s="758">
        <f>AK20+AK21+AK24</f>
        <v>1691.3649983104808</v>
      </c>
      <c r="AL27" s="1358">
        <f t="shared" ref="AL27:AQ27" si="11">AL20+AL21+AL24+AL23</f>
        <v>1736.489</v>
      </c>
      <c r="AM27" s="1359">
        <f t="shared" si="11"/>
        <v>1734.6670000000001</v>
      </c>
      <c r="AN27" s="758">
        <f t="shared" si="11"/>
        <v>1764.4590000000001</v>
      </c>
      <c r="AO27" s="1644">
        <f t="shared" si="11"/>
        <v>1723.8735153216401</v>
      </c>
      <c r="AP27" s="758">
        <f>AP20+AP21+AP24+AP23</f>
        <v>1657.8890000000001</v>
      </c>
      <c r="AQ27" s="758">
        <f t="shared" si="11"/>
        <v>1681.056</v>
      </c>
      <c r="AR27" s="459">
        <f>AQ27/AP27-1</f>
        <v>1.3973794385510718E-2</v>
      </c>
    </row>
    <row r="28" spans="1:44" ht="15" customHeight="1" x14ac:dyDescent="0.25">
      <c r="A28" s="268"/>
      <c r="B28" s="443"/>
      <c r="C28" s="443"/>
      <c r="D28" s="444"/>
      <c r="E28" s="445"/>
      <c r="F28" s="446"/>
      <c r="G28" s="446"/>
      <c r="H28" s="446"/>
      <c r="I28" s="446"/>
      <c r="J28" s="446"/>
      <c r="K28" s="446"/>
      <c r="L28" s="446"/>
      <c r="M28" s="446"/>
      <c r="N28" s="446"/>
      <c r="O28" s="446"/>
      <c r="P28" s="446"/>
      <c r="Q28" s="446"/>
      <c r="R28" s="446"/>
      <c r="S28" s="446"/>
      <c r="T28" s="446"/>
      <c r="U28" s="446"/>
      <c r="V28" s="446"/>
      <c r="W28" s="446"/>
      <c r="X28" s="446"/>
      <c r="Y28" s="446"/>
      <c r="Z28" s="446"/>
      <c r="AA28" s="446"/>
      <c r="AB28" s="446"/>
      <c r="AC28" s="446"/>
      <c r="AD28" s="446"/>
      <c r="AE28" s="446"/>
      <c r="AF28" s="446"/>
      <c r="AG28" s="446"/>
      <c r="AH28" s="446"/>
      <c r="AI28" s="446"/>
      <c r="AJ28" s="446"/>
      <c r="AK28" s="929"/>
      <c r="AL28" s="1376"/>
      <c r="AM28" s="1377"/>
      <c r="AN28" s="497"/>
      <c r="AO28" s="1663"/>
      <c r="AP28" s="497"/>
      <c r="AQ28" s="497"/>
      <c r="AR28" s="1599"/>
    </row>
    <row r="29" spans="1:44" ht="18" x14ac:dyDescent="0.25">
      <c r="A29" s="253" t="s">
        <v>5</v>
      </c>
      <c r="B29" s="449"/>
      <c r="C29" s="449"/>
      <c r="D29" s="450"/>
      <c r="E29" s="451"/>
      <c r="F29" s="452"/>
      <c r="G29" s="452"/>
      <c r="H29" s="452"/>
      <c r="I29" s="452"/>
      <c r="J29" s="452"/>
      <c r="K29" s="452"/>
      <c r="L29" s="498"/>
      <c r="M29" s="515"/>
      <c r="N29" s="452"/>
      <c r="O29" s="452"/>
      <c r="P29" s="452"/>
      <c r="Q29" s="452"/>
      <c r="R29" s="452"/>
      <c r="S29" s="452"/>
      <c r="T29" s="452"/>
      <c r="U29" s="452"/>
      <c r="V29" s="452"/>
      <c r="W29" s="452"/>
      <c r="X29" s="452"/>
      <c r="Y29" s="452"/>
      <c r="Z29" s="452"/>
      <c r="AA29" s="452"/>
      <c r="AB29" s="453"/>
      <c r="AC29" s="453"/>
      <c r="AD29" s="453"/>
      <c r="AE29" s="453"/>
      <c r="AF29" s="453"/>
      <c r="AG29" s="774"/>
      <c r="AH29" s="774"/>
      <c r="AI29" s="774"/>
      <c r="AJ29" s="453"/>
      <c r="AK29" s="774"/>
      <c r="AL29" s="1367"/>
      <c r="AM29" s="1363"/>
      <c r="AN29" s="774"/>
      <c r="AO29" s="1659"/>
      <c r="AP29" s="774"/>
      <c r="AQ29" s="774"/>
      <c r="AR29" s="1600"/>
    </row>
    <row r="30" spans="1:44" s="4" customFormat="1" ht="18" x14ac:dyDescent="0.25">
      <c r="A30" s="271"/>
      <c r="B30" s="443"/>
      <c r="C30" s="443"/>
      <c r="D30" s="444"/>
      <c r="E30" s="443"/>
      <c r="F30" s="447"/>
      <c r="G30" s="447"/>
      <c r="H30" s="447"/>
      <c r="I30" s="447"/>
      <c r="J30" s="447"/>
      <c r="K30" s="447"/>
      <c r="L30" s="499"/>
      <c r="M30" s="516"/>
      <c r="N30" s="447"/>
      <c r="O30" s="447"/>
      <c r="P30" s="447"/>
      <c r="Q30" s="447"/>
      <c r="R30" s="447"/>
      <c r="S30" s="447"/>
      <c r="T30" s="447"/>
      <c r="U30" s="447"/>
      <c r="V30" s="447"/>
      <c r="W30" s="447"/>
      <c r="X30" s="447"/>
      <c r="Y30" s="447"/>
      <c r="Z30" s="447"/>
      <c r="AA30" s="447"/>
      <c r="AB30" s="454"/>
      <c r="AC30" s="454"/>
      <c r="AD30" s="454"/>
      <c r="AE30" s="454"/>
      <c r="AF30" s="454"/>
      <c r="AG30" s="775"/>
      <c r="AH30" s="775"/>
      <c r="AI30" s="775"/>
      <c r="AJ30" s="454"/>
      <c r="AK30" s="775"/>
      <c r="AL30" s="1378"/>
      <c r="AM30" s="1379"/>
      <c r="AN30" s="775"/>
      <c r="AO30" s="1664"/>
      <c r="AP30" s="775"/>
      <c r="AQ30" s="775"/>
      <c r="AR30" s="1599"/>
    </row>
    <row r="31" spans="1:44" ht="15" x14ac:dyDescent="0.25">
      <c r="A31" s="455" t="s">
        <v>73</v>
      </c>
      <c r="B31" s="651">
        <f t="shared" ref="B31:AC31" si="12">B32+B33+B34+B35+B36</f>
        <v>1067.40002</v>
      </c>
      <c r="C31" s="456">
        <f t="shared" si="12"/>
        <v>1052.95352</v>
      </c>
      <c r="D31" s="651">
        <f t="shared" si="12"/>
        <v>1278.1845600000001</v>
      </c>
      <c r="E31" s="456">
        <f t="shared" si="12"/>
        <v>1399.33178</v>
      </c>
      <c r="F31" s="456">
        <f t="shared" si="12"/>
        <v>1453</v>
      </c>
      <c r="G31" s="456">
        <f t="shared" si="12"/>
        <v>1432.48</v>
      </c>
      <c r="H31" s="456">
        <f t="shared" si="12"/>
        <v>1451.1390999999999</v>
      </c>
      <c r="I31" s="456">
        <f t="shared" si="12"/>
        <v>1835.2953</v>
      </c>
      <c r="J31" s="456">
        <f t="shared" si="12"/>
        <v>1835.2953</v>
      </c>
      <c r="K31" s="456">
        <f t="shared" si="12"/>
        <v>1709.9943000000001</v>
      </c>
      <c r="L31" s="500">
        <f t="shared" si="12"/>
        <v>1614.1</v>
      </c>
      <c r="M31" s="732">
        <f t="shared" si="12"/>
        <v>1557.18552</v>
      </c>
      <c r="N31" s="456">
        <f t="shared" si="12"/>
        <v>1303</v>
      </c>
      <c r="O31" s="456">
        <f t="shared" si="12"/>
        <v>1172.1600000000001</v>
      </c>
      <c r="P31" s="456">
        <f t="shared" si="12"/>
        <v>1147.18</v>
      </c>
      <c r="Q31" s="456">
        <f t="shared" si="12"/>
        <v>1127.78</v>
      </c>
      <c r="R31" s="734">
        <f t="shared" si="12"/>
        <v>1147.9139599999999</v>
      </c>
      <c r="S31" s="456">
        <f t="shared" si="12"/>
        <v>1352.6342400000001</v>
      </c>
      <c r="T31" s="456">
        <f t="shared" si="12"/>
        <v>1551.96</v>
      </c>
      <c r="U31" s="456">
        <f t="shared" si="12"/>
        <v>1498.66</v>
      </c>
      <c r="V31" s="456">
        <f t="shared" si="12"/>
        <v>1568.46</v>
      </c>
      <c r="W31" s="456">
        <f t="shared" si="12"/>
        <v>1568.04</v>
      </c>
      <c r="X31" s="734">
        <f t="shared" si="12"/>
        <v>1579.7002200000002</v>
      </c>
      <c r="Y31" s="456">
        <f t="shared" si="12"/>
        <v>1397.8255999999999</v>
      </c>
      <c r="Z31" s="456">
        <f t="shared" si="12"/>
        <v>1298.5999999999999</v>
      </c>
      <c r="AA31" s="456">
        <f t="shared" si="12"/>
        <v>1338.58</v>
      </c>
      <c r="AB31" s="457">
        <f t="shared" si="12"/>
        <v>1359.88</v>
      </c>
      <c r="AC31" s="733">
        <f t="shared" si="12"/>
        <v>1340.7544399999999</v>
      </c>
      <c r="AD31" s="457">
        <f t="shared" ref="AD31:AO31" si="13">AD32+AD33+AD34+AD35+AD36</f>
        <v>1457.3571199999999</v>
      </c>
      <c r="AE31" s="457">
        <f t="shared" si="13"/>
        <v>1306.28072</v>
      </c>
      <c r="AF31" s="733">
        <f t="shared" si="13"/>
        <v>1184</v>
      </c>
      <c r="AG31" s="776">
        <f t="shared" si="13"/>
        <v>1152.8800000000001</v>
      </c>
      <c r="AH31" s="776">
        <f t="shared" si="13"/>
        <v>1099.9000000000001</v>
      </c>
      <c r="AI31" s="776">
        <f t="shared" si="13"/>
        <v>1149.76</v>
      </c>
      <c r="AJ31" s="733">
        <f t="shared" si="13"/>
        <v>1129.1977800000002</v>
      </c>
      <c r="AK31" s="776">
        <f t="shared" si="13"/>
        <v>1351.1472999662096</v>
      </c>
      <c r="AL31" s="1380">
        <f t="shared" si="13"/>
        <v>1328.68</v>
      </c>
      <c r="AM31" s="1381">
        <f t="shared" si="13"/>
        <v>1319.2435599999999</v>
      </c>
      <c r="AN31" s="776">
        <f t="shared" si="13"/>
        <v>1277.2393999999999</v>
      </c>
      <c r="AO31" s="1665">
        <f t="shared" si="13"/>
        <v>1246.2276903064328</v>
      </c>
      <c r="AP31" s="776">
        <f>AP32+AP33+AP34+AP35+AP36</f>
        <v>1226.22</v>
      </c>
      <c r="AQ31" s="776">
        <f>AQ32+AQ33+AQ34+AQ35+AQ36</f>
        <v>1226.5411200000001</v>
      </c>
      <c r="AR31" s="1597">
        <f t="shared" ref="AR31:AR36" si="14">AQ31/AP31-1</f>
        <v>2.6187796643339922E-4</v>
      </c>
    </row>
    <row r="32" spans="1:44" ht="14.25" x14ac:dyDescent="0.2">
      <c r="A32" s="259" t="s">
        <v>217</v>
      </c>
      <c r="B32" s="1203">
        <v>1015.8390000000001</v>
      </c>
      <c r="C32" s="1152">
        <v>1024.32</v>
      </c>
      <c r="D32" s="1203">
        <v>1234.1030000000001</v>
      </c>
      <c r="E32" s="1201">
        <v>1345.5309999999999</v>
      </c>
      <c r="F32" s="222">
        <v>1400</v>
      </c>
      <c r="G32" s="222">
        <v>1380</v>
      </c>
      <c r="H32" s="1152">
        <v>1399.992</v>
      </c>
      <c r="I32" s="222">
        <v>1780</v>
      </c>
      <c r="J32" s="222">
        <v>1780</v>
      </c>
      <c r="K32" s="222">
        <v>1650</v>
      </c>
      <c r="L32" s="501">
        <v>1555</v>
      </c>
      <c r="M32" s="1141">
        <v>1500.914</v>
      </c>
      <c r="N32" s="222">
        <v>1250</v>
      </c>
      <c r="O32" s="222">
        <v>1120</v>
      </c>
      <c r="P32" s="222">
        <v>1100</v>
      </c>
      <c r="Q32" s="222">
        <v>1080</v>
      </c>
      <c r="R32" s="1195">
        <v>1102</v>
      </c>
      <c r="S32" s="458">
        <v>1300</v>
      </c>
      <c r="T32" s="458">
        <v>1500</v>
      </c>
      <c r="U32" s="458">
        <v>1450</v>
      </c>
      <c r="V32" s="458">
        <v>1520</v>
      </c>
      <c r="W32" s="458">
        <v>1520</v>
      </c>
      <c r="X32" s="1195">
        <v>1530</v>
      </c>
      <c r="Y32" s="458">
        <v>1350</v>
      </c>
      <c r="Z32" s="458">
        <v>1250</v>
      </c>
      <c r="AA32" s="458">
        <v>1280</v>
      </c>
      <c r="AB32" s="458">
        <v>1300</v>
      </c>
      <c r="AC32" s="1195">
        <v>1283</v>
      </c>
      <c r="AD32" s="222">
        <v>1400</v>
      </c>
      <c r="AE32" s="222">
        <v>1250</v>
      </c>
      <c r="AF32" s="1041">
        <v>1130</v>
      </c>
      <c r="AG32" s="175">
        <v>1100</v>
      </c>
      <c r="AH32" s="175">
        <v>1050</v>
      </c>
      <c r="AI32" s="1068">
        <v>1100</v>
      </c>
      <c r="AJ32" s="432">
        <v>1080</v>
      </c>
      <c r="AK32" s="858">
        <v>1300</v>
      </c>
      <c r="AL32" s="1357">
        <v>1280</v>
      </c>
      <c r="AM32" s="1006">
        <v>1270</v>
      </c>
      <c r="AN32" s="687">
        <v>1230</v>
      </c>
      <c r="AO32" s="1632">
        <v>1200</v>
      </c>
      <c r="AP32" s="687">
        <v>1180</v>
      </c>
      <c r="AQ32" s="687">
        <v>1180</v>
      </c>
      <c r="AR32" s="1598">
        <f t="shared" si="14"/>
        <v>0</v>
      </c>
    </row>
    <row r="33" spans="1:44" ht="14.25" x14ac:dyDescent="0.2">
      <c r="A33" s="259" t="s">
        <v>6</v>
      </c>
      <c r="B33" s="1203">
        <v>21.24</v>
      </c>
      <c r="C33" s="1152">
        <v>3.605</v>
      </c>
      <c r="D33" s="1203">
        <v>8.9890000000000008</v>
      </c>
      <c r="E33" s="1152">
        <v>11.275</v>
      </c>
      <c r="F33" s="222">
        <v>10</v>
      </c>
      <c r="G33" s="222">
        <v>10</v>
      </c>
      <c r="H33" s="1152">
        <v>9.5310000000000006</v>
      </c>
      <c r="I33" s="222">
        <v>10</v>
      </c>
      <c r="J33" s="222">
        <v>10</v>
      </c>
      <c r="K33" s="222">
        <v>15</v>
      </c>
      <c r="L33" s="501">
        <v>15</v>
      </c>
      <c r="M33" s="1141">
        <v>12.337</v>
      </c>
      <c r="N33" s="222">
        <v>13</v>
      </c>
      <c r="O33" s="222">
        <v>12</v>
      </c>
      <c r="P33" s="222">
        <v>8</v>
      </c>
      <c r="Q33" s="222">
        <v>8</v>
      </c>
      <c r="R33" s="1195">
        <v>6.5720000000000001</v>
      </c>
      <c r="S33" s="458">
        <v>10</v>
      </c>
      <c r="T33" s="458">
        <v>10</v>
      </c>
      <c r="U33" s="458">
        <v>10</v>
      </c>
      <c r="V33" s="458">
        <v>10</v>
      </c>
      <c r="W33" s="458">
        <v>10</v>
      </c>
      <c r="X33" s="1195">
        <v>11.564</v>
      </c>
      <c r="Y33" s="458">
        <v>10</v>
      </c>
      <c r="Z33" s="458">
        <v>10</v>
      </c>
      <c r="AA33" s="458">
        <v>10</v>
      </c>
      <c r="AB33" s="458">
        <v>10</v>
      </c>
      <c r="AC33" s="1195">
        <v>8.0719999999999992</v>
      </c>
      <c r="AD33" s="222">
        <v>10</v>
      </c>
      <c r="AE33" s="222">
        <v>10</v>
      </c>
      <c r="AF33" s="1041">
        <v>10</v>
      </c>
      <c r="AG33" s="175">
        <v>10</v>
      </c>
      <c r="AH33" s="175">
        <v>7</v>
      </c>
      <c r="AI33" s="1068">
        <v>7</v>
      </c>
      <c r="AJ33" s="432">
        <v>6.726</v>
      </c>
      <c r="AK33" s="858">
        <v>7</v>
      </c>
      <c r="AL33" s="1357">
        <v>7</v>
      </c>
      <c r="AM33" s="1006">
        <v>7</v>
      </c>
      <c r="AN33" s="687">
        <v>7</v>
      </c>
      <c r="AO33" s="1632">
        <v>6</v>
      </c>
      <c r="AP33" s="687">
        <v>5.9</v>
      </c>
      <c r="AQ33" s="687">
        <v>6</v>
      </c>
      <c r="AR33" s="1598">
        <f t="shared" si="14"/>
        <v>1.6949152542372836E-2</v>
      </c>
    </row>
    <row r="34" spans="1:44" ht="14.25" x14ac:dyDescent="0.2">
      <c r="A34" s="259" t="s">
        <v>37</v>
      </c>
      <c r="B34" s="742"/>
      <c r="C34" s="222"/>
      <c r="D34" s="222"/>
      <c r="E34" s="222"/>
      <c r="F34" s="222"/>
      <c r="G34" s="222"/>
      <c r="H34" s="222"/>
      <c r="I34" s="222"/>
      <c r="J34" s="222"/>
      <c r="K34" s="222"/>
      <c r="L34" s="501"/>
      <c r="M34" s="509"/>
      <c r="N34" s="222"/>
      <c r="O34" s="222"/>
      <c r="P34" s="222"/>
      <c r="Q34" s="222"/>
      <c r="R34" s="432"/>
      <c r="S34" s="222"/>
      <c r="T34" s="222"/>
      <c r="U34" s="222"/>
      <c r="V34" s="222"/>
      <c r="W34" s="222"/>
      <c r="X34" s="432"/>
      <c r="Y34" s="222"/>
      <c r="Z34" s="222"/>
      <c r="AA34" s="222">
        <v>10</v>
      </c>
      <c r="AB34" s="222">
        <v>10</v>
      </c>
      <c r="AC34" s="432">
        <v>10</v>
      </c>
      <c r="AD34" s="222">
        <v>10</v>
      </c>
      <c r="AE34" s="222">
        <v>10</v>
      </c>
      <c r="AF34" s="1041">
        <v>10</v>
      </c>
      <c r="AG34" s="175">
        <v>10</v>
      </c>
      <c r="AH34" s="175">
        <v>10</v>
      </c>
      <c r="AI34" s="1068">
        <v>10</v>
      </c>
      <c r="AJ34" s="432">
        <v>10</v>
      </c>
      <c r="AK34" s="858">
        <v>10</v>
      </c>
      <c r="AL34" s="1357">
        <v>10</v>
      </c>
      <c r="AM34" s="1006">
        <v>10</v>
      </c>
      <c r="AN34" s="687">
        <v>10</v>
      </c>
      <c r="AO34" s="1632">
        <v>10</v>
      </c>
      <c r="AP34" s="687">
        <v>10</v>
      </c>
      <c r="AQ34" s="687">
        <v>10</v>
      </c>
      <c r="AR34" s="1598">
        <f t="shared" si="14"/>
        <v>0</v>
      </c>
    </row>
    <row r="35" spans="1:44" ht="14.25" x14ac:dyDescent="0.2">
      <c r="A35" s="259" t="s">
        <v>7</v>
      </c>
      <c r="B35" s="742">
        <v>3</v>
      </c>
      <c r="C35" s="222">
        <v>1</v>
      </c>
      <c r="D35" s="742">
        <v>7</v>
      </c>
      <c r="E35" s="222">
        <v>10</v>
      </c>
      <c r="F35" s="222">
        <v>11</v>
      </c>
      <c r="G35" s="222">
        <v>11</v>
      </c>
      <c r="H35" s="222">
        <v>11</v>
      </c>
      <c r="I35" s="222">
        <v>11</v>
      </c>
      <c r="J35" s="222">
        <v>11</v>
      </c>
      <c r="K35" s="222">
        <v>11</v>
      </c>
      <c r="L35" s="501">
        <v>10</v>
      </c>
      <c r="M35" s="509">
        <v>10</v>
      </c>
      <c r="N35" s="222">
        <v>10</v>
      </c>
      <c r="O35" s="222">
        <v>10</v>
      </c>
      <c r="P35" s="222">
        <v>10</v>
      </c>
      <c r="Q35" s="222">
        <v>10</v>
      </c>
      <c r="R35" s="432">
        <v>10</v>
      </c>
      <c r="S35" s="222">
        <v>10</v>
      </c>
      <c r="T35" s="222">
        <v>10</v>
      </c>
      <c r="U35" s="222">
        <v>10</v>
      </c>
      <c r="V35" s="222">
        <v>10</v>
      </c>
      <c r="W35" s="222">
        <v>10</v>
      </c>
      <c r="X35" s="432">
        <v>10</v>
      </c>
      <c r="Y35" s="222">
        <v>10</v>
      </c>
      <c r="Z35" s="222">
        <v>10</v>
      </c>
      <c r="AA35" s="222">
        <v>10</v>
      </c>
      <c r="AB35" s="222">
        <v>10</v>
      </c>
      <c r="AC35" s="432">
        <v>10</v>
      </c>
      <c r="AD35" s="222">
        <v>10</v>
      </c>
      <c r="AE35" s="222">
        <v>10</v>
      </c>
      <c r="AF35" s="1041">
        <v>10</v>
      </c>
      <c r="AG35" s="175">
        <v>10</v>
      </c>
      <c r="AH35" s="175">
        <v>10</v>
      </c>
      <c r="AI35" s="1068">
        <v>10</v>
      </c>
      <c r="AJ35" s="432">
        <v>10</v>
      </c>
      <c r="AK35" s="858">
        <v>10</v>
      </c>
      <c r="AL35" s="1357">
        <v>9</v>
      </c>
      <c r="AM35" s="1006">
        <v>9</v>
      </c>
      <c r="AN35" s="687">
        <v>9</v>
      </c>
      <c r="AO35" s="1632">
        <v>9</v>
      </c>
      <c r="AP35" s="687">
        <v>9</v>
      </c>
      <c r="AQ35" s="687">
        <v>9</v>
      </c>
      <c r="AR35" s="1598">
        <f t="shared" si="14"/>
        <v>0</v>
      </c>
    </row>
    <row r="36" spans="1:44" ht="14.25" x14ac:dyDescent="0.2">
      <c r="A36" s="259" t="s">
        <v>8</v>
      </c>
      <c r="B36" s="742">
        <f t="shared" ref="B36:AC36" si="15">B21*0.02</f>
        <v>27.321020000000001</v>
      </c>
      <c r="C36" s="222">
        <f t="shared" si="15"/>
        <v>24.02852</v>
      </c>
      <c r="D36" s="742">
        <f t="shared" si="15"/>
        <v>28.092559999999999</v>
      </c>
      <c r="E36" s="222">
        <f t="shared" si="15"/>
        <v>32.525779999999997</v>
      </c>
      <c r="F36" s="222">
        <f t="shared" si="15"/>
        <v>32</v>
      </c>
      <c r="G36" s="222">
        <f t="shared" si="15"/>
        <v>31.48</v>
      </c>
      <c r="H36" s="222">
        <f t="shared" si="15"/>
        <v>30.616100000000003</v>
      </c>
      <c r="I36" s="222">
        <f t="shared" si="15"/>
        <v>34.295300000000005</v>
      </c>
      <c r="J36" s="222">
        <f t="shared" si="15"/>
        <v>34.295300000000005</v>
      </c>
      <c r="K36" s="222">
        <f t="shared" si="15"/>
        <v>33.994299999999996</v>
      </c>
      <c r="L36" s="501">
        <f t="shared" si="15"/>
        <v>34.1</v>
      </c>
      <c r="M36" s="509">
        <f t="shared" si="15"/>
        <v>33.934520000000006</v>
      </c>
      <c r="N36" s="222">
        <f t="shared" si="15"/>
        <v>30</v>
      </c>
      <c r="O36" s="222">
        <f t="shared" si="15"/>
        <v>30.16</v>
      </c>
      <c r="P36" s="222">
        <f t="shared" si="15"/>
        <v>29.18</v>
      </c>
      <c r="Q36" s="222">
        <f t="shared" si="15"/>
        <v>29.78</v>
      </c>
      <c r="R36" s="432">
        <f t="shared" si="15"/>
        <v>29.34196</v>
      </c>
      <c r="S36" s="222">
        <f t="shared" si="15"/>
        <v>32.634239999999998</v>
      </c>
      <c r="T36" s="222">
        <f t="shared" si="15"/>
        <v>31.96</v>
      </c>
      <c r="U36" s="222">
        <f t="shared" si="15"/>
        <v>28.66</v>
      </c>
      <c r="V36" s="222">
        <f t="shared" si="15"/>
        <v>28.46</v>
      </c>
      <c r="W36" s="222">
        <f t="shared" si="15"/>
        <v>28.04</v>
      </c>
      <c r="X36" s="432">
        <f t="shared" si="15"/>
        <v>28.136219999999998</v>
      </c>
      <c r="Y36" s="222">
        <f t="shared" si="15"/>
        <v>27.825600000000001</v>
      </c>
      <c r="Z36" s="222">
        <f t="shared" si="15"/>
        <v>28.6</v>
      </c>
      <c r="AA36" s="222">
        <f t="shared" si="15"/>
        <v>28.580000000000002</v>
      </c>
      <c r="AB36" s="222">
        <f t="shared" si="15"/>
        <v>29.88</v>
      </c>
      <c r="AC36" s="432">
        <f t="shared" si="15"/>
        <v>29.682440000000003</v>
      </c>
      <c r="AD36" s="178">
        <v>27.357120000000002</v>
      </c>
      <c r="AE36" s="178">
        <v>26.280720000000002</v>
      </c>
      <c r="AF36" s="1051">
        <v>24</v>
      </c>
      <c r="AG36" s="175">
        <f t="shared" ref="AG36:AQ36" si="16">AG21*0.02</f>
        <v>22.88</v>
      </c>
      <c r="AH36" s="175">
        <f t="shared" si="16"/>
        <v>22.900000000000002</v>
      </c>
      <c r="AI36" s="1083">
        <f t="shared" si="16"/>
        <v>22.76</v>
      </c>
      <c r="AJ36" s="432">
        <f t="shared" si="16"/>
        <v>22.471779999999999</v>
      </c>
      <c r="AK36" s="878">
        <f t="shared" si="16"/>
        <v>24.147299966209616</v>
      </c>
      <c r="AL36" s="1357">
        <f t="shared" si="16"/>
        <v>22.68</v>
      </c>
      <c r="AM36" s="1006">
        <f t="shared" si="16"/>
        <v>23.243560000000002</v>
      </c>
      <c r="AN36" s="687">
        <f t="shared" si="16"/>
        <v>21.2394</v>
      </c>
      <c r="AO36" s="1632">
        <f t="shared" si="16"/>
        <v>21.227690306432802</v>
      </c>
      <c r="AP36" s="687">
        <f>AP21*0.02</f>
        <v>21.32</v>
      </c>
      <c r="AQ36" s="687">
        <f t="shared" si="16"/>
        <v>21.541120000000003</v>
      </c>
      <c r="AR36" s="1598">
        <f t="shared" si="14"/>
        <v>1.0371482176360303E-2</v>
      </c>
    </row>
    <row r="37" spans="1:44" ht="14.25" x14ac:dyDescent="0.2">
      <c r="A37" s="259"/>
      <c r="B37" s="222"/>
      <c r="C37" s="222"/>
      <c r="D37" s="742"/>
      <c r="E37" s="222"/>
      <c r="F37" s="222"/>
      <c r="G37" s="222"/>
      <c r="H37" s="222"/>
      <c r="I37" s="222"/>
      <c r="J37" s="222"/>
      <c r="K37" s="222"/>
      <c r="L37" s="501"/>
      <c r="M37" s="509"/>
      <c r="N37" s="222"/>
      <c r="O37" s="222"/>
      <c r="P37" s="222"/>
      <c r="Q37" s="222"/>
      <c r="R37" s="432"/>
      <c r="S37" s="222"/>
      <c r="T37" s="222"/>
      <c r="U37" s="222"/>
      <c r="V37" s="222"/>
      <c r="W37" s="222"/>
      <c r="X37" s="432"/>
      <c r="Y37" s="222"/>
      <c r="Z37" s="222"/>
      <c r="AA37" s="222"/>
      <c r="AB37" s="222"/>
      <c r="AC37" s="432"/>
      <c r="AD37" s="178"/>
      <c r="AE37" s="178"/>
      <c r="AF37" s="1051"/>
      <c r="AG37" s="175"/>
      <c r="AH37" s="175"/>
      <c r="AI37" s="1083"/>
      <c r="AJ37" s="432"/>
      <c r="AK37" s="878"/>
      <c r="AL37" s="1357"/>
      <c r="AM37" s="1006"/>
      <c r="AN37" s="687"/>
      <c r="AO37" s="1632"/>
      <c r="AP37" s="687"/>
      <c r="AQ37" s="687"/>
      <c r="AR37" s="1598"/>
    </row>
    <row r="38" spans="1:44" ht="15" x14ac:dyDescent="0.25">
      <c r="A38" s="455" t="s">
        <v>9</v>
      </c>
      <c r="B38" s="651">
        <f t="shared" ref="B38:AJ38" si="17">B39+B40</f>
        <v>441.375</v>
      </c>
      <c r="C38" s="456">
        <f t="shared" si="17"/>
        <v>312.11400000000003</v>
      </c>
      <c r="D38" s="651">
        <f t="shared" si="17"/>
        <v>331.49700000000001</v>
      </c>
      <c r="E38" s="456">
        <f t="shared" si="17"/>
        <v>353.596</v>
      </c>
      <c r="F38" s="456">
        <f t="shared" si="17"/>
        <v>340</v>
      </c>
      <c r="G38" s="456">
        <f t="shared" si="17"/>
        <v>400</v>
      </c>
      <c r="H38" s="456">
        <f t="shared" si="17"/>
        <v>433.94499999999999</v>
      </c>
      <c r="I38" s="456">
        <f t="shared" si="17"/>
        <v>408</v>
      </c>
      <c r="J38" s="456">
        <f t="shared" si="17"/>
        <v>408</v>
      </c>
      <c r="K38" s="456">
        <f t="shared" si="17"/>
        <v>388</v>
      </c>
      <c r="L38" s="500">
        <f t="shared" si="17"/>
        <v>398</v>
      </c>
      <c r="M38" s="517">
        <f t="shared" si="17"/>
        <v>429.02700000000004</v>
      </c>
      <c r="N38" s="456">
        <f t="shared" si="17"/>
        <v>400</v>
      </c>
      <c r="O38" s="456">
        <f t="shared" si="17"/>
        <v>480</v>
      </c>
      <c r="P38" s="456">
        <f t="shared" si="17"/>
        <v>455</v>
      </c>
      <c r="Q38" s="456">
        <f t="shared" si="17"/>
        <v>442</v>
      </c>
      <c r="R38" s="651">
        <f t="shared" si="17"/>
        <v>419.142</v>
      </c>
      <c r="S38" s="456">
        <f t="shared" si="17"/>
        <v>460</v>
      </c>
      <c r="T38" s="456">
        <f t="shared" si="17"/>
        <v>385</v>
      </c>
      <c r="U38" s="456">
        <f t="shared" si="17"/>
        <v>355</v>
      </c>
      <c r="V38" s="456">
        <f t="shared" si="17"/>
        <v>397</v>
      </c>
      <c r="W38" s="456">
        <f t="shared" si="17"/>
        <v>390</v>
      </c>
      <c r="X38" s="651">
        <f t="shared" si="17"/>
        <v>421.02199999999999</v>
      </c>
      <c r="Y38" s="456">
        <f t="shared" si="17"/>
        <v>380</v>
      </c>
      <c r="Z38" s="456">
        <f t="shared" si="17"/>
        <v>400</v>
      </c>
      <c r="AA38" s="456">
        <f t="shared" si="17"/>
        <v>405</v>
      </c>
      <c r="AB38" s="457">
        <f t="shared" si="17"/>
        <v>470</v>
      </c>
      <c r="AC38" s="731">
        <f t="shared" si="17"/>
        <v>473.87100000000004</v>
      </c>
      <c r="AD38" s="457">
        <f t="shared" si="17"/>
        <v>365</v>
      </c>
      <c r="AE38" s="457">
        <f t="shared" si="17"/>
        <v>395</v>
      </c>
      <c r="AF38" s="731">
        <f t="shared" si="17"/>
        <v>370</v>
      </c>
      <c r="AG38" s="777">
        <f t="shared" si="17"/>
        <v>245</v>
      </c>
      <c r="AH38" s="777">
        <f t="shared" si="17"/>
        <v>320</v>
      </c>
      <c r="AI38" s="777">
        <f t="shared" si="17"/>
        <v>325</v>
      </c>
      <c r="AJ38" s="731">
        <f t="shared" si="17"/>
        <v>328.20000000000005</v>
      </c>
      <c r="AK38" s="777">
        <f t="shared" ref="AK38:AQ38" si="18">AK39+AK40</f>
        <v>300</v>
      </c>
      <c r="AL38" s="1353">
        <f t="shared" si="18"/>
        <v>290</v>
      </c>
      <c r="AM38" s="1355">
        <f t="shared" si="18"/>
        <v>275</v>
      </c>
      <c r="AN38" s="777">
        <f t="shared" si="18"/>
        <v>275</v>
      </c>
      <c r="AO38" s="1637">
        <f t="shared" si="18"/>
        <v>300</v>
      </c>
      <c r="AP38" s="777">
        <f>AP39+AP40</f>
        <v>317.40000000000003</v>
      </c>
      <c r="AQ38" s="777">
        <f t="shared" si="18"/>
        <v>317</v>
      </c>
      <c r="AR38" s="1597">
        <f>AQ38/AP38-1</f>
        <v>-1.260239445494804E-3</v>
      </c>
    </row>
    <row r="39" spans="1:44" ht="14.25" x14ac:dyDescent="0.2">
      <c r="A39" s="148" t="s">
        <v>10</v>
      </c>
      <c r="B39" s="1203">
        <v>436.88200000000001</v>
      </c>
      <c r="C39" s="1203">
        <v>306.8</v>
      </c>
      <c r="D39" s="1203">
        <v>326.89400000000001</v>
      </c>
      <c r="E39" s="1152">
        <v>347.99799999999999</v>
      </c>
      <c r="F39" s="222">
        <v>330</v>
      </c>
      <c r="G39" s="222">
        <v>390</v>
      </c>
      <c r="H39" s="1152">
        <v>426.09800000000001</v>
      </c>
      <c r="I39" s="222">
        <v>400</v>
      </c>
      <c r="J39" s="222">
        <v>400</v>
      </c>
      <c r="K39" s="222">
        <v>380</v>
      </c>
      <c r="L39" s="501">
        <v>390</v>
      </c>
      <c r="M39" s="1141">
        <v>421.14100000000002</v>
      </c>
      <c r="N39" s="222">
        <v>392</v>
      </c>
      <c r="O39" s="222">
        <v>475</v>
      </c>
      <c r="P39" s="222">
        <v>450</v>
      </c>
      <c r="Q39" s="222">
        <v>430</v>
      </c>
      <c r="R39" s="1195">
        <v>408.91800000000001</v>
      </c>
      <c r="S39" s="458">
        <v>450</v>
      </c>
      <c r="T39" s="458">
        <v>375</v>
      </c>
      <c r="U39" s="458">
        <v>345</v>
      </c>
      <c r="V39" s="458">
        <v>390</v>
      </c>
      <c r="W39" s="458">
        <v>380</v>
      </c>
      <c r="X39" s="1195">
        <v>411.99599999999998</v>
      </c>
      <c r="Y39" s="458">
        <v>370</v>
      </c>
      <c r="Z39" s="458">
        <v>390</v>
      </c>
      <c r="AA39" s="458">
        <v>400</v>
      </c>
      <c r="AB39" s="458">
        <v>463</v>
      </c>
      <c r="AC39" s="1195">
        <v>466.66500000000002</v>
      </c>
      <c r="AD39" s="458">
        <v>360</v>
      </c>
      <c r="AE39" s="458">
        <v>390</v>
      </c>
      <c r="AF39" s="1195">
        <v>365</v>
      </c>
      <c r="AG39" s="1206">
        <v>240</v>
      </c>
      <c r="AH39" s="1206">
        <v>309</v>
      </c>
      <c r="AI39" s="1255">
        <v>310</v>
      </c>
      <c r="AJ39" s="1195">
        <v>313.37400000000002</v>
      </c>
      <c r="AK39" s="858">
        <v>285</v>
      </c>
      <c r="AL39" s="1357">
        <v>275</v>
      </c>
      <c r="AM39" s="1006">
        <v>270</v>
      </c>
      <c r="AN39" s="687">
        <v>260</v>
      </c>
      <c r="AO39" s="1632">
        <v>285</v>
      </c>
      <c r="AP39" s="1740">
        <v>304.3</v>
      </c>
      <c r="AQ39" s="687">
        <v>304</v>
      </c>
      <c r="AR39" s="1598">
        <f>AQ39/AP39-1</f>
        <v>-9.8586920801846389E-4</v>
      </c>
    </row>
    <row r="40" spans="1:44" ht="15" x14ac:dyDescent="0.2">
      <c r="A40" s="148" t="s">
        <v>3</v>
      </c>
      <c r="B40" s="1203">
        <v>4.4930000000000003</v>
      </c>
      <c r="C40" s="1203">
        <v>5.3140000000000001</v>
      </c>
      <c r="D40" s="1203">
        <v>4.6029999999999998</v>
      </c>
      <c r="E40" s="1152">
        <v>5.5979999999999999</v>
      </c>
      <c r="F40" s="222">
        <v>10</v>
      </c>
      <c r="G40" s="222">
        <v>10</v>
      </c>
      <c r="H40" s="1152">
        <v>7.8470000000000004</v>
      </c>
      <c r="I40" s="222">
        <v>8</v>
      </c>
      <c r="J40" s="222">
        <v>8</v>
      </c>
      <c r="K40" s="222">
        <v>8</v>
      </c>
      <c r="L40" s="501">
        <v>8</v>
      </c>
      <c r="M40" s="1141">
        <v>7.8860000000000001</v>
      </c>
      <c r="N40" s="222">
        <v>8</v>
      </c>
      <c r="O40" s="222">
        <v>5</v>
      </c>
      <c r="P40" s="222">
        <v>5</v>
      </c>
      <c r="Q40" s="222">
        <v>12</v>
      </c>
      <c r="R40" s="1195">
        <v>10.224</v>
      </c>
      <c r="S40" s="458">
        <v>10</v>
      </c>
      <c r="T40" s="458">
        <v>10</v>
      </c>
      <c r="U40" s="458">
        <v>10</v>
      </c>
      <c r="V40" s="458">
        <v>7</v>
      </c>
      <c r="W40" s="458">
        <v>10</v>
      </c>
      <c r="X40" s="1195">
        <v>9.0259999999999998</v>
      </c>
      <c r="Y40" s="458">
        <v>10</v>
      </c>
      <c r="Z40" s="458">
        <v>10</v>
      </c>
      <c r="AA40" s="458">
        <v>5</v>
      </c>
      <c r="AB40" s="1260">
        <v>7</v>
      </c>
      <c r="AC40" s="1195">
        <v>7.2060000000000004</v>
      </c>
      <c r="AD40" s="1260">
        <v>5</v>
      </c>
      <c r="AE40" s="454">
        <v>5</v>
      </c>
      <c r="AF40" s="1261">
        <v>5</v>
      </c>
      <c r="AG40" s="1206">
        <v>5</v>
      </c>
      <c r="AH40" s="1206">
        <v>11</v>
      </c>
      <c r="AI40" s="1262">
        <v>15</v>
      </c>
      <c r="AJ40" s="1195">
        <v>14.826000000000001</v>
      </c>
      <c r="AK40" s="878">
        <v>15</v>
      </c>
      <c r="AL40" s="1357">
        <v>15</v>
      </c>
      <c r="AM40" s="1006">
        <v>5</v>
      </c>
      <c r="AN40" s="687">
        <v>15</v>
      </c>
      <c r="AO40" s="1632">
        <v>15</v>
      </c>
      <c r="AP40" s="1740">
        <v>13.1</v>
      </c>
      <c r="AQ40" s="687">
        <v>13</v>
      </c>
      <c r="AR40" s="1598">
        <f>AQ40/AP40-1</f>
        <v>-7.6335877862595547E-3</v>
      </c>
    </row>
    <row r="41" spans="1:44" ht="18" x14ac:dyDescent="0.25">
      <c r="A41" s="151" t="s">
        <v>74</v>
      </c>
      <c r="B41" s="442">
        <f t="shared" ref="B41:AC41" si="19">B31+B38</f>
        <v>1508.77502</v>
      </c>
      <c r="C41" s="442">
        <f t="shared" si="19"/>
        <v>1365.0675200000001</v>
      </c>
      <c r="D41" s="442">
        <f t="shared" si="19"/>
        <v>1609.6815600000002</v>
      </c>
      <c r="E41" s="442">
        <f t="shared" si="19"/>
        <v>1752.92778</v>
      </c>
      <c r="F41" s="442">
        <f t="shared" si="19"/>
        <v>1793</v>
      </c>
      <c r="G41" s="442">
        <f t="shared" si="19"/>
        <v>1832.48</v>
      </c>
      <c r="H41" s="442">
        <f t="shared" si="19"/>
        <v>1885.0840999999998</v>
      </c>
      <c r="I41" s="442">
        <f t="shared" si="19"/>
        <v>2243.2952999999998</v>
      </c>
      <c r="J41" s="442">
        <f t="shared" si="19"/>
        <v>2243.2952999999998</v>
      </c>
      <c r="K41" s="442">
        <f t="shared" si="19"/>
        <v>2097.9943000000003</v>
      </c>
      <c r="L41" s="496">
        <f t="shared" si="19"/>
        <v>2012.1</v>
      </c>
      <c r="M41" s="725">
        <f t="shared" si="19"/>
        <v>1986.21252</v>
      </c>
      <c r="N41" s="726">
        <f t="shared" si="19"/>
        <v>1703</v>
      </c>
      <c r="O41" s="726">
        <f t="shared" si="19"/>
        <v>1652.16</v>
      </c>
      <c r="P41" s="726">
        <f t="shared" si="19"/>
        <v>1602.18</v>
      </c>
      <c r="Q41" s="726">
        <f t="shared" si="19"/>
        <v>1569.78</v>
      </c>
      <c r="R41" s="726">
        <f t="shared" si="19"/>
        <v>1567.0559599999999</v>
      </c>
      <c r="S41" s="726">
        <f t="shared" si="19"/>
        <v>1812.6342400000001</v>
      </c>
      <c r="T41" s="726">
        <f t="shared" si="19"/>
        <v>1936.96</v>
      </c>
      <c r="U41" s="726">
        <f t="shared" si="19"/>
        <v>1853.66</v>
      </c>
      <c r="V41" s="726">
        <f t="shared" si="19"/>
        <v>1965.46</v>
      </c>
      <c r="W41" s="726">
        <f t="shared" si="19"/>
        <v>1958.04</v>
      </c>
      <c r="X41" s="726">
        <f t="shared" si="19"/>
        <v>2000.7222200000001</v>
      </c>
      <c r="Y41" s="726">
        <f t="shared" si="19"/>
        <v>1777.8255999999999</v>
      </c>
      <c r="Z41" s="726">
        <f t="shared" si="19"/>
        <v>1698.6</v>
      </c>
      <c r="AA41" s="726">
        <f t="shared" si="19"/>
        <v>1743.58</v>
      </c>
      <c r="AB41" s="726">
        <f t="shared" si="19"/>
        <v>1829.88</v>
      </c>
      <c r="AC41" s="726">
        <f t="shared" si="19"/>
        <v>1814.62544</v>
      </c>
      <c r="AD41" s="726">
        <f t="shared" ref="AD41:AO41" si="20">AD31+AD38</f>
        <v>1822.3571199999999</v>
      </c>
      <c r="AE41" s="726">
        <f t="shared" si="20"/>
        <v>1701.28072</v>
      </c>
      <c r="AF41" s="726">
        <f t="shared" si="20"/>
        <v>1554</v>
      </c>
      <c r="AG41" s="758">
        <f t="shared" si="20"/>
        <v>1397.88</v>
      </c>
      <c r="AH41" s="758">
        <f t="shared" si="20"/>
        <v>1419.9</v>
      </c>
      <c r="AI41" s="758">
        <f t="shared" si="20"/>
        <v>1474.76</v>
      </c>
      <c r="AJ41" s="726">
        <f t="shared" si="20"/>
        <v>1457.3977800000002</v>
      </c>
      <c r="AK41" s="758">
        <f t="shared" si="20"/>
        <v>1651.1472999662096</v>
      </c>
      <c r="AL41" s="1358">
        <f t="shared" si="20"/>
        <v>1618.68</v>
      </c>
      <c r="AM41" s="1359">
        <f t="shared" si="20"/>
        <v>1594.2435599999999</v>
      </c>
      <c r="AN41" s="758">
        <f t="shared" si="20"/>
        <v>1552.2393999999999</v>
      </c>
      <c r="AO41" s="1644">
        <f t="shared" si="20"/>
        <v>1546.2276903064328</v>
      </c>
      <c r="AP41" s="758">
        <f>AP31+AP38</f>
        <v>1543.6200000000001</v>
      </c>
      <c r="AQ41" s="758">
        <f>AQ31+AQ38</f>
        <v>1543.5411200000001</v>
      </c>
      <c r="AR41" s="459">
        <f>AQ41/AP41-1</f>
        <v>-5.1100659488767519E-5</v>
      </c>
    </row>
    <row r="42" spans="1:44" ht="15" x14ac:dyDescent="0.25">
      <c r="A42" s="152"/>
      <c r="B42" s="187"/>
      <c r="C42" s="187"/>
      <c r="D42" s="187"/>
      <c r="E42" s="187"/>
      <c r="F42" s="187"/>
      <c r="G42" s="187"/>
      <c r="H42" s="187"/>
      <c r="I42" s="187"/>
      <c r="J42" s="187"/>
      <c r="K42" s="187"/>
      <c r="L42" s="487"/>
      <c r="M42" s="50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7"/>
      <c r="AC42" s="187"/>
      <c r="AD42" s="187"/>
      <c r="AE42" s="460"/>
      <c r="AF42" s="460"/>
      <c r="AG42" s="869"/>
      <c r="AH42" s="869"/>
      <c r="AI42" s="928"/>
      <c r="AJ42" s="187"/>
      <c r="AK42" s="928"/>
      <c r="AL42" s="1367"/>
      <c r="AM42" s="1363"/>
      <c r="AN42" s="487"/>
      <c r="AO42" s="1659"/>
      <c r="AP42" s="487"/>
      <c r="AQ42" s="487"/>
      <c r="AR42" s="1596"/>
    </row>
    <row r="43" spans="1:44" ht="21" x14ac:dyDescent="0.25">
      <c r="A43" s="151" t="s">
        <v>182</v>
      </c>
      <c r="B43" s="240">
        <f t="shared" ref="B43:AI43" si="21">B27-B41</f>
        <v>183.03697999999986</v>
      </c>
      <c r="C43" s="240">
        <f t="shared" si="21"/>
        <v>100.91745999999966</v>
      </c>
      <c r="D43" s="240">
        <f t="shared" si="21"/>
        <v>189.12289999999939</v>
      </c>
      <c r="E43" s="240">
        <f t="shared" si="21"/>
        <v>189.00611999999933</v>
      </c>
      <c r="F43" s="239">
        <f t="shared" si="21"/>
        <v>222</v>
      </c>
      <c r="G43" s="239">
        <f t="shared" si="21"/>
        <v>214.14599999999996</v>
      </c>
      <c r="H43" s="240">
        <f t="shared" si="21"/>
        <v>162.26590000000033</v>
      </c>
      <c r="I43" s="239">
        <f t="shared" si="21"/>
        <v>240.46970000000056</v>
      </c>
      <c r="J43" s="239">
        <f t="shared" si="21"/>
        <v>232.09570000000031</v>
      </c>
      <c r="K43" s="239">
        <f t="shared" si="21"/>
        <v>200.1896999999999</v>
      </c>
      <c r="L43" s="376">
        <f t="shared" si="21"/>
        <v>241.36900000000014</v>
      </c>
      <c r="M43" s="518">
        <f t="shared" si="21"/>
        <v>90.212380000000394</v>
      </c>
      <c r="N43" s="442">
        <f t="shared" si="21"/>
        <v>173</v>
      </c>
      <c r="O43" s="442">
        <f t="shared" si="21"/>
        <v>191.83999999999992</v>
      </c>
      <c r="P43" s="442">
        <f t="shared" si="21"/>
        <v>192.81999999999994</v>
      </c>
      <c r="Q43" s="442">
        <f t="shared" si="21"/>
        <v>305.22000000000003</v>
      </c>
      <c r="R43" s="442">
        <f>SUM(R44:R46)</f>
        <v>153.226</v>
      </c>
      <c r="S43" s="442">
        <f t="shared" si="21"/>
        <v>299.0777599999999</v>
      </c>
      <c r="T43" s="442">
        <f t="shared" si="21"/>
        <v>399.61999999999989</v>
      </c>
      <c r="U43" s="442">
        <f t="shared" si="21"/>
        <v>268.33999999999992</v>
      </c>
      <c r="V43" s="442">
        <f t="shared" si="21"/>
        <v>156.53999999999996</v>
      </c>
      <c r="W43" s="442">
        <f t="shared" si="21"/>
        <v>152.96000000000004</v>
      </c>
      <c r="X43" s="442">
        <f>SUM(X44:X46)</f>
        <v>129.09199999999998</v>
      </c>
      <c r="Y43" s="442">
        <f t="shared" si="21"/>
        <v>156.41440000000011</v>
      </c>
      <c r="Z43" s="442">
        <f t="shared" si="21"/>
        <v>198.92000000000007</v>
      </c>
      <c r="AA43" s="442">
        <f t="shared" si="21"/>
        <v>143.42000000000007</v>
      </c>
      <c r="AB43" s="442">
        <f t="shared" si="21"/>
        <v>101.11999999999989</v>
      </c>
      <c r="AC43" s="442">
        <f>SUM(AC44:AC46)</f>
        <v>79.405000000000001</v>
      </c>
      <c r="AD43" s="442">
        <f t="shared" si="21"/>
        <v>144.25888000000009</v>
      </c>
      <c r="AE43" s="442">
        <f t="shared" si="21"/>
        <v>114.75528000000008</v>
      </c>
      <c r="AF43" s="442">
        <f t="shared" si="21"/>
        <v>65</v>
      </c>
      <c r="AG43" s="496">
        <f t="shared" si="21"/>
        <v>97.119999999999891</v>
      </c>
      <c r="AH43" s="496">
        <f t="shared" si="21"/>
        <v>96.099999999999909</v>
      </c>
      <c r="AI43" s="496">
        <f t="shared" si="21"/>
        <v>12.644999999999982</v>
      </c>
      <c r="AJ43" s="442">
        <f>SUM(AJ44:AJ46)</f>
        <v>152.489</v>
      </c>
      <c r="AK43" s="496">
        <f t="shared" ref="AK43:AQ43" si="22">AK27-AK41</f>
        <v>40.217698344271184</v>
      </c>
      <c r="AL43" s="1360">
        <f t="shared" si="22"/>
        <v>117.80899999999997</v>
      </c>
      <c r="AM43" s="1382">
        <f t="shared" si="22"/>
        <v>140.42344000000026</v>
      </c>
      <c r="AN43" s="496">
        <f t="shared" si="22"/>
        <v>212.21960000000013</v>
      </c>
      <c r="AO43" s="1666">
        <f t="shared" si="22"/>
        <v>177.64582501520727</v>
      </c>
      <c r="AP43" s="496">
        <f>SUM(AP44:AP46)</f>
        <v>94</v>
      </c>
      <c r="AQ43" s="496">
        <f t="shared" si="22"/>
        <v>137.51487999999995</v>
      </c>
      <c r="AR43" s="1532">
        <f>AQ43/AP43-1</f>
        <v>0.46292425531914838</v>
      </c>
    </row>
    <row r="44" spans="1:44" ht="15" x14ac:dyDescent="0.25">
      <c r="A44" s="259" t="s">
        <v>11</v>
      </c>
      <c r="B44" s="1202">
        <v>182.14699999999999</v>
      </c>
      <c r="C44" s="1202">
        <v>100.95399999999999</v>
      </c>
      <c r="D44" s="1202">
        <v>188.798</v>
      </c>
      <c r="E44" s="1202">
        <v>189.33199999999999</v>
      </c>
      <c r="F44" s="187"/>
      <c r="G44" s="187"/>
      <c r="H44" s="1154">
        <v>125.919</v>
      </c>
      <c r="I44" s="187"/>
      <c r="J44" s="187"/>
      <c r="K44" s="187"/>
      <c r="L44" s="487">
        <v>89</v>
      </c>
      <c r="M44" s="1155">
        <v>89.195999999999998</v>
      </c>
      <c r="N44" s="736"/>
      <c r="O44" s="736"/>
      <c r="P44" s="736"/>
      <c r="Q44" s="736"/>
      <c r="R44" s="1263">
        <v>152.82900000000001</v>
      </c>
      <c r="S44" s="1263"/>
      <c r="T44" s="1263"/>
      <c r="U44" s="1263"/>
      <c r="V44" s="1263"/>
      <c r="W44" s="1263">
        <v>129</v>
      </c>
      <c r="X44" s="1264">
        <v>128.39099999999999</v>
      </c>
      <c r="Y44" s="1265"/>
      <c r="Z44" s="1265"/>
      <c r="AA44" s="1265"/>
      <c r="AB44" s="1265"/>
      <c r="AC44" s="1263">
        <v>78.971000000000004</v>
      </c>
      <c r="AD44" s="1266"/>
      <c r="AE44" s="1266"/>
      <c r="AF44" s="1266"/>
      <c r="AG44" s="1206"/>
      <c r="AH44" s="1206"/>
      <c r="AI44" s="1267"/>
      <c r="AJ44" s="1263">
        <v>82.19</v>
      </c>
      <c r="AK44" s="879"/>
      <c r="AL44" s="1383"/>
      <c r="AM44" s="1384"/>
      <c r="AN44" s="1302"/>
      <c r="AO44" s="1667"/>
      <c r="AP44" s="1741">
        <v>93.6</v>
      </c>
      <c r="AQ44" s="1302"/>
      <c r="AR44" s="1596"/>
    </row>
    <row r="45" spans="1:44" ht="15" x14ac:dyDescent="0.25">
      <c r="A45" s="259" t="s">
        <v>12</v>
      </c>
      <c r="B45" s="1202">
        <v>0.66200000000000003</v>
      </c>
      <c r="C45" s="1202">
        <v>0.19500000000000001</v>
      </c>
      <c r="D45" s="1202">
        <v>0.28799999999999998</v>
      </c>
      <c r="E45" s="1202">
        <v>0.38400000000000001</v>
      </c>
      <c r="F45" s="187"/>
      <c r="G45" s="187"/>
      <c r="H45" s="1154">
        <v>1.17</v>
      </c>
      <c r="I45" s="187"/>
      <c r="J45" s="187"/>
      <c r="K45" s="187"/>
      <c r="L45" s="487">
        <v>1</v>
      </c>
      <c r="M45" s="1145">
        <v>0.83599999999999997</v>
      </c>
      <c r="N45" s="461"/>
      <c r="O45" s="461"/>
      <c r="P45" s="461"/>
      <c r="Q45" s="461"/>
      <c r="R45" s="1268">
        <v>0.39700000000000002</v>
      </c>
      <c r="S45" s="1268"/>
      <c r="T45" s="1268"/>
      <c r="U45" s="1268"/>
      <c r="V45" s="1268"/>
      <c r="W45" s="1268">
        <v>1</v>
      </c>
      <c r="X45" s="1253">
        <v>0.70099999999999996</v>
      </c>
      <c r="Y45" s="454"/>
      <c r="Z45" s="454"/>
      <c r="AA45" s="454"/>
      <c r="AB45" s="454"/>
      <c r="AC45" s="1261">
        <v>0.434</v>
      </c>
      <c r="AD45" s="454"/>
      <c r="AE45" s="454"/>
      <c r="AF45" s="454"/>
      <c r="AG45" s="1206"/>
      <c r="AH45" s="1206"/>
      <c r="AI45" s="775"/>
      <c r="AJ45" s="1261">
        <v>0.29899999999999999</v>
      </c>
      <c r="AK45" s="872"/>
      <c r="AL45" s="1385"/>
      <c r="AM45" s="1386"/>
      <c r="AN45" s="936"/>
      <c r="AO45" s="1668"/>
      <c r="AP45" s="1742">
        <v>0.4</v>
      </c>
      <c r="AQ45" s="936"/>
      <c r="AR45" s="1596"/>
    </row>
    <row r="46" spans="1:44" ht="15" x14ac:dyDescent="0.25">
      <c r="A46" s="259" t="s">
        <v>13</v>
      </c>
      <c r="B46" s="463"/>
      <c r="C46" s="463"/>
      <c r="D46" s="463"/>
      <c r="E46" s="463"/>
      <c r="F46" s="463"/>
      <c r="G46" s="463"/>
      <c r="H46" s="178">
        <v>35</v>
      </c>
      <c r="I46" s="463"/>
      <c r="J46" s="463"/>
      <c r="K46" s="463"/>
      <c r="L46" s="464"/>
      <c r="M46" s="613"/>
      <c r="N46" s="614"/>
      <c r="O46" s="614"/>
      <c r="P46" s="614"/>
      <c r="Q46" s="614"/>
      <c r="R46" s="614"/>
      <c r="S46" s="614"/>
      <c r="T46" s="614"/>
      <c r="U46" s="614"/>
      <c r="V46" s="614"/>
      <c r="W46" s="614"/>
      <c r="X46" s="614"/>
      <c r="Y46" s="614"/>
      <c r="Z46" s="614"/>
      <c r="AA46" s="614"/>
      <c r="AB46" s="614"/>
      <c r="AC46" s="614"/>
      <c r="AD46" s="614"/>
      <c r="AE46" s="614"/>
      <c r="AF46" s="1052"/>
      <c r="AG46" s="175"/>
      <c r="AH46" s="175"/>
      <c r="AI46" s="1084"/>
      <c r="AJ46" s="614">
        <v>70</v>
      </c>
      <c r="AK46" s="880"/>
      <c r="AL46" s="1387"/>
      <c r="AM46" s="1388"/>
      <c r="AN46" s="1303"/>
      <c r="AO46" s="1669"/>
      <c r="AP46" s="1743"/>
      <c r="AQ46" s="1303"/>
      <c r="AR46" s="1596"/>
    </row>
    <row r="47" spans="1:44" ht="15" x14ac:dyDescent="0.2">
      <c r="A47" s="674" t="s">
        <v>176</v>
      </c>
      <c r="B47" s="481">
        <v>0.15719063545150502</v>
      </c>
      <c r="C47" s="481">
        <v>0.1154505478124766</v>
      </c>
      <c r="D47" s="481">
        <v>0.11898496240601496</v>
      </c>
      <c r="E47" s="481">
        <v>0.13765253951574316</v>
      </c>
      <c r="F47" s="481">
        <v>0.13457207207207209</v>
      </c>
      <c r="G47" s="481">
        <v>0.12699669603524227</v>
      </c>
      <c r="H47" s="481">
        <v>0.11210837571409138</v>
      </c>
      <c r="I47" s="481">
        <v>0.1157233887878014</v>
      </c>
      <c r="J47" s="481"/>
      <c r="K47" s="481">
        <v>0.10436672150175699</v>
      </c>
      <c r="L47" s="502">
        <v>0.10449573934837095</v>
      </c>
      <c r="M47" s="738">
        <v>0.10467479674796748</v>
      </c>
      <c r="N47" s="739">
        <v>0.11005917159763313</v>
      </c>
      <c r="O47" s="739">
        <v>0.12645082467929139</v>
      </c>
      <c r="P47" s="739">
        <v>0.12327909887359199</v>
      </c>
      <c r="Q47" s="739">
        <v>0.19808306709265175</v>
      </c>
      <c r="R47" s="739">
        <v>0.15879444494129366</v>
      </c>
      <c r="S47" s="739">
        <v>0.16540397350993377</v>
      </c>
      <c r="T47" s="739">
        <v>0.2063129852965471</v>
      </c>
      <c r="U47" s="739">
        <v>0.14476225413506247</v>
      </c>
      <c r="V47" s="739">
        <v>7.9645477394604799E-2</v>
      </c>
      <c r="W47" s="739">
        <v>7.8118935261792422E-2</v>
      </c>
      <c r="X47" s="739">
        <v>8.3851117815116033E-2</v>
      </c>
      <c r="Y47" s="739">
        <v>8.798073331827394E-2</v>
      </c>
      <c r="Z47" s="739">
        <v>0.11710820675850706</v>
      </c>
      <c r="AA47" s="739">
        <v>8.2256047901444196E-2</v>
      </c>
      <c r="AB47" s="739">
        <v>5.5260454237436273E-2</v>
      </c>
      <c r="AC47" s="740">
        <v>4.8372968948451743E-2</v>
      </c>
      <c r="AD47" s="740">
        <v>8.5115057235518848E-2</v>
      </c>
      <c r="AE47" s="740">
        <v>6.7452289707956067E-2</v>
      </c>
      <c r="AF47" s="1648">
        <v>3.3693693693693627E-2</v>
      </c>
      <c r="AG47" s="715"/>
      <c r="AH47" s="715"/>
      <c r="AI47" s="1649"/>
      <c r="AJ47" s="740">
        <v>4.8372968948451743E-2</v>
      </c>
      <c r="AK47" s="881"/>
      <c r="AL47" s="1650">
        <f>AL43/AL41</f>
        <v>7.2780907900264397E-2</v>
      </c>
      <c r="AM47" s="1651">
        <f>AM43/AM41</f>
        <v>8.8081547589880349E-2</v>
      </c>
      <c r="AN47" s="1652"/>
      <c r="AO47" s="1670"/>
      <c r="AP47" s="1652"/>
      <c r="AQ47" s="1652"/>
      <c r="AR47" s="1653"/>
    </row>
    <row r="48" spans="1:44" s="31" customFormat="1" ht="14.25" x14ac:dyDescent="0.2">
      <c r="A48" s="1096" t="s">
        <v>177</v>
      </c>
      <c r="B48" s="1097"/>
      <c r="C48" s="1097"/>
      <c r="D48" s="1097"/>
      <c r="E48" s="1097"/>
      <c r="F48" s="1097"/>
      <c r="G48" s="1097"/>
      <c r="H48" s="1097"/>
      <c r="I48" s="1097"/>
      <c r="J48" s="1097"/>
      <c r="K48" s="1097"/>
      <c r="L48" s="1097"/>
      <c r="M48" s="1097"/>
      <c r="N48" s="1097"/>
      <c r="O48" s="1097"/>
      <c r="P48" s="1097"/>
      <c r="Q48" s="1097"/>
      <c r="R48" s="1097"/>
      <c r="S48" s="1097"/>
      <c r="T48" s="1097"/>
      <c r="U48" s="1097"/>
      <c r="V48" s="1097"/>
      <c r="W48" s="1097"/>
      <c r="X48" s="1097"/>
      <c r="Y48" s="1097"/>
      <c r="Z48" s="1097"/>
      <c r="AA48" s="1097"/>
      <c r="AB48" s="1097"/>
      <c r="AC48" s="1097"/>
      <c r="AD48" s="1097"/>
      <c r="AE48" s="1097"/>
      <c r="AF48" s="1097"/>
      <c r="AG48" s="1097"/>
      <c r="AH48" s="1097"/>
      <c r="AI48" s="1097"/>
      <c r="AJ48" s="1097"/>
      <c r="AK48" s="1097"/>
      <c r="AL48" s="1389"/>
      <c r="AM48" s="1389"/>
      <c r="AN48" s="1097"/>
      <c r="AO48" s="1097"/>
      <c r="AP48" s="1097"/>
      <c r="AQ48" s="1097"/>
      <c r="AR48" s="1097"/>
    </row>
    <row r="49" spans="1:44" s="31" customFormat="1" ht="14.25" x14ac:dyDescent="0.2">
      <c r="A49" s="709" t="s">
        <v>236</v>
      </c>
      <c r="B49" s="1102"/>
      <c r="C49" s="1102"/>
      <c r="D49" s="1102"/>
      <c r="E49" s="1102"/>
      <c r="F49" s="1102"/>
      <c r="G49" s="1102"/>
      <c r="H49" s="1102"/>
      <c r="I49" s="1102"/>
      <c r="J49" s="1102"/>
      <c r="K49" s="1102"/>
      <c r="L49" s="1102"/>
      <c r="M49" s="1102"/>
      <c r="N49" s="1097"/>
      <c r="O49" s="1097"/>
      <c r="P49" s="1097"/>
      <c r="Q49" s="1097"/>
      <c r="R49" s="1097"/>
      <c r="S49" s="1097"/>
      <c r="T49" s="1097"/>
      <c r="U49" s="1097"/>
      <c r="V49" s="1097"/>
      <c r="W49" s="1097"/>
      <c r="X49" s="1097"/>
      <c r="Y49" s="1097"/>
      <c r="Z49" s="1097"/>
      <c r="AA49" s="1097"/>
      <c r="AB49" s="1097"/>
      <c r="AC49" s="1097"/>
      <c r="AD49" s="1097"/>
      <c r="AE49" s="1097"/>
      <c r="AF49" s="1097"/>
      <c r="AG49" s="1097"/>
      <c r="AH49" s="1097"/>
      <c r="AI49" s="1097"/>
      <c r="AJ49" s="1097"/>
      <c r="AK49" s="1097"/>
      <c r="AL49" s="1389"/>
      <c r="AM49" s="1389"/>
      <c r="AN49" s="1097"/>
      <c r="AO49" s="1097"/>
      <c r="AP49" s="1097"/>
      <c r="AQ49" s="1097"/>
      <c r="AR49" s="1097"/>
    </row>
    <row r="50" spans="1:44" s="31" customFormat="1" ht="14.25" x14ac:dyDescent="0.2">
      <c r="A50" s="1108" t="s">
        <v>218</v>
      </c>
      <c r="B50" s="1104"/>
      <c r="C50" s="1104"/>
      <c r="D50" s="1104"/>
      <c r="E50" s="1104"/>
      <c r="F50" s="1104"/>
      <c r="G50" s="1104"/>
      <c r="H50" s="1101"/>
      <c r="I50" s="1104"/>
      <c r="J50" s="1104"/>
      <c r="K50" s="1104"/>
      <c r="L50" s="1104"/>
      <c r="M50" s="1104"/>
      <c r="AL50" s="1390"/>
      <c r="AM50" s="1390"/>
    </row>
    <row r="51" spans="1:44" s="31" customFormat="1" ht="14.25" x14ac:dyDescent="0.2">
      <c r="A51" s="1104"/>
      <c r="B51" s="1104"/>
      <c r="C51" s="1104"/>
      <c r="D51" s="1104"/>
      <c r="E51" s="1104"/>
      <c r="F51" s="1104"/>
      <c r="G51" s="1104"/>
      <c r="H51" s="1105"/>
      <c r="I51" s="1104"/>
      <c r="J51" s="1104"/>
      <c r="K51" s="1104"/>
      <c r="L51" s="1104"/>
      <c r="M51" s="1103"/>
      <c r="N51" s="1098"/>
      <c r="O51" s="1098"/>
      <c r="P51" s="1098"/>
      <c r="Q51" s="1098"/>
      <c r="R51" s="1098"/>
      <c r="S51" s="1098"/>
      <c r="T51" s="1098"/>
      <c r="U51" s="1098"/>
      <c r="V51" s="1098"/>
      <c r="W51" s="1098"/>
      <c r="X51" s="1098"/>
      <c r="Y51" s="1099"/>
      <c r="Z51" s="1098"/>
      <c r="AA51" s="1098"/>
      <c r="AB51" s="1099"/>
      <c r="AC51" s="1098">
        <f>235-183</f>
        <v>52</v>
      </c>
      <c r="AD51" s="1098"/>
      <c r="AE51" s="1098"/>
      <c r="AF51" s="1098"/>
      <c r="AG51" s="1098"/>
      <c r="AH51" s="1098"/>
      <c r="AI51" s="1098"/>
      <c r="AJ51" s="1098"/>
      <c r="AK51" s="1098"/>
      <c r="AL51" s="1391"/>
      <c r="AM51" s="1391"/>
      <c r="AN51" s="1098"/>
      <c r="AO51" s="1098"/>
      <c r="AP51" s="1098"/>
      <c r="AQ51" s="1098"/>
      <c r="AR51" s="1097"/>
    </row>
    <row r="52" spans="1:44" s="31" customFormat="1" x14ac:dyDescent="0.2">
      <c r="A52" s="1104"/>
      <c r="B52" s="1104"/>
      <c r="C52" s="1104"/>
      <c r="D52" s="1104"/>
      <c r="E52" s="1104"/>
      <c r="F52" s="1104"/>
      <c r="G52" s="1104"/>
      <c r="H52" s="1104"/>
      <c r="I52" s="1104"/>
      <c r="J52" s="1104"/>
      <c r="K52" s="1104"/>
      <c r="L52" s="1104"/>
      <c r="M52" s="1104"/>
      <c r="AC52" s="1204"/>
    </row>
    <row r="53" spans="1:44" x14ac:dyDescent="0.2">
      <c r="A53" s="1106"/>
      <c r="B53" s="1106"/>
      <c r="C53" s="1106"/>
      <c r="D53" s="1106"/>
      <c r="E53" s="1106"/>
      <c r="F53" s="1106"/>
      <c r="G53" s="1106"/>
      <c r="H53" s="1106"/>
      <c r="I53" s="1106"/>
      <c r="J53" s="1106"/>
      <c r="K53" s="1106"/>
      <c r="L53" s="1106"/>
      <c r="M53" s="1106"/>
    </row>
    <row r="54" spans="1:44" x14ac:dyDescent="0.2">
      <c r="A54" s="1569" t="s">
        <v>260</v>
      </c>
      <c r="B54" s="1100"/>
      <c r="C54" s="1100"/>
      <c r="D54" s="1100"/>
      <c r="E54" s="1100"/>
      <c r="F54" s="1100"/>
      <c r="G54" s="1100"/>
      <c r="H54" s="1100"/>
      <c r="I54" s="1100"/>
      <c r="J54" s="1100"/>
      <c r="K54" s="1100"/>
      <c r="L54" s="1100"/>
      <c r="M54" s="1100"/>
      <c r="R54" s="1004">
        <f>R27-R41-R43</f>
        <v>-0.32657999999958065</v>
      </c>
      <c r="X54" s="1004">
        <f>X27-X41-X43</f>
        <v>0.346779999999967</v>
      </c>
      <c r="AC54" s="1004">
        <f>AC27-AC41-AC43</f>
        <v>0.47656000000003473</v>
      </c>
      <c r="AJ54" s="1004">
        <f>AJ27-AJ41-AJ43</f>
        <v>0.10721999999967124</v>
      </c>
      <c r="AO54" s="1004">
        <f>AO27-AO41-AO43</f>
        <v>0</v>
      </c>
      <c r="AP54" s="1004">
        <f>AP27-AP41-AP43</f>
        <v>20.269000000000005</v>
      </c>
      <c r="AQ54" s="1004">
        <f>AQ27-AQ41-AQ43</f>
        <v>0</v>
      </c>
    </row>
  </sheetData>
  <phoneticPr fontId="3" type="noConversion"/>
  <pageMargins left="0.23622047244094491" right="0.15748031496062992" top="0.39370078740157483" bottom="0.39370078740157483" header="0.51181102362204722" footer="0.51181102362204722"/>
  <pageSetup paperSize="9"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  <pageSetUpPr fitToPage="1"/>
  </sheetPr>
  <dimension ref="A1:AQ52"/>
  <sheetViews>
    <sheetView workbookViewId="0">
      <selection activeCell="AT2" sqref="AT2"/>
    </sheetView>
  </sheetViews>
  <sheetFormatPr baseColWidth="10" defaultRowHeight="12.75" x14ac:dyDescent="0.2"/>
  <cols>
    <col min="1" max="1" width="46.7109375" customWidth="1"/>
    <col min="2" max="2" width="13.5703125" hidden="1" customWidth="1"/>
    <col min="3" max="3" width="13.42578125" hidden="1" customWidth="1"/>
    <col min="4" max="5" width="14.85546875" hidden="1" customWidth="1"/>
    <col min="6" max="6" width="19" hidden="1" customWidth="1"/>
    <col min="7" max="7" width="17.7109375" hidden="1" customWidth="1"/>
    <col min="8" max="8" width="12.85546875" hidden="1" customWidth="1"/>
    <col min="9" max="9" width="17.7109375" hidden="1" customWidth="1"/>
    <col min="10" max="10" width="18.140625" hidden="1" customWidth="1"/>
    <col min="11" max="11" width="14.42578125" hidden="1" customWidth="1"/>
    <col min="12" max="12" width="14.85546875" hidden="1" customWidth="1"/>
    <col min="13" max="13" width="15.85546875" hidden="1" customWidth="1"/>
    <col min="14" max="14" width="13.85546875" hidden="1" customWidth="1"/>
    <col min="15" max="15" width="15" hidden="1" customWidth="1"/>
    <col min="16" max="16" width="14.140625" hidden="1" customWidth="1"/>
    <col min="17" max="17" width="14.28515625" hidden="1" customWidth="1"/>
    <col min="18" max="18" width="15.85546875" hidden="1" customWidth="1"/>
    <col min="19" max="19" width="12.42578125" hidden="1" customWidth="1"/>
    <col min="20" max="20" width="13.140625" hidden="1" customWidth="1"/>
    <col min="21" max="21" width="12.42578125" hidden="1" customWidth="1"/>
    <col min="22" max="22" width="13.42578125" hidden="1" customWidth="1"/>
    <col min="23" max="24" width="12.42578125" hidden="1" customWidth="1"/>
    <col min="25" max="25" width="15.28515625" hidden="1" customWidth="1"/>
    <col min="26" max="27" width="12.42578125" hidden="1" customWidth="1"/>
    <col min="28" max="28" width="13.42578125" hidden="1" customWidth="1"/>
    <col min="29" max="29" width="13.7109375" hidden="1" customWidth="1"/>
    <col min="30" max="30" width="12.85546875" hidden="1" customWidth="1"/>
    <col min="31" max="31" width="13.42578125" hidden="1" customWidth="1"/>
    <col min="32" max="33" width="13.28515625" hidden="1" customWidth="1"/>
    <col min="34" max="34" width="15.85546875" hidden="1" customWidth="1"/>
    <col min="35" max="35" width="15.85546875" customWidth="1"/>
    <col min="36" max="36" width="15.85546875" hidden="1" customWidth="1"/>
    <col min="37" max="40" width="15.85546875" customWidth="1"/>
  </cols>
  <sheetData>
    <row r="1" spans="1:42" ht="78.75" customHeight="1" x14ac:dyDescent="0.2"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</row>
    <row r="2" spans="1:42" ht="20.25" customHeight="1" x14ac:dyDescent="0.3">
      <c r="A2" s="465" t="s">
        <v>0</v>
      </c>
      <c r="B2" s="466" t="s">
        <v>28</v>
      </c>
      <c r="C2" s="466" t="s">
        <v>75</v>
      </c>
      <c r="D2" s="466" t="s">
        <v>76</v>
      </c>
      <c r="E2" s="466" t="s">
        <v>108</v>
      </c>
      <c r="F2" s="466" t="s">
        <v>80</v>
      </c>
      <c r="G2" s="466" t="s">
        <v>138</v>
      </c>
      <c r="H2" s="466" t="s">
        <v>139</v>
      </c>
      <c r="I2" s="466" t="s">
        <v>81</v>
      </c>
      <c r="J2" s="466" t="s">
        <v>114</v>
      </c>
      <c r="K2" s="466" t="s">
        <v>114</v>
      </c>
      <c r="L2" s="482" t="s">
        <v>114</v>
      </c>
      <c r="M2" s="503" t="s">
        <v>114</v>
      </c>
      <c r="N2" s="466" t="s">
        <v>86</v>
      </c>
      <c r="O2" s="466" t="s">
        <v>49</v>
      </c>
      <c r="P2" s="466" t="s">
        <v>86</v>
      </c>
      <c r="Q2" s="466" t="s">
        <v>49</v>
      </c>
      <c r="R2" s="466" t="s">
        <v>144</v>
      </c>
      <c r="S2" s="466" t="s">
        <v>145</v>
      </c>
      <c r="T2" s="466" t="s">
        <v>145</v>
      </c>
      <c r="U2" s="466" t="s">
        <v>145</v>
      </c>
      <c r="V2" s="466" t="s">
        <v>148</v>
      </c>
      <c r="W2" s="466" t="s">
        <v>149</v>
      </c>
      <c r="X2" s="466" t="s">
        <v>150</v>
      </c>
      <c r="Y2" s="466" t="s">
        <v>51</v>
      </c>
      <c r="Z2" s="466" t="s">
        <v>51</v>
      </c>
      <c r="AA2" s="466" t="s">
        <v>51</v>
      </c>
      <c r="AB2" s="466" t="s">
        <v>152</v>
      </c>
      <c r="AC2" s="466" t="s">
        <v>102</v>
      </c>
      <c r="AD2" s="466" t="s">
        <v>154</v>
      </c>
      <c r="AE2" s="466" t="s">
        <v>155</v>
      </c>
      <c r="AF2" s="466" t="s">
        <v>155</v>
      </c>
      <c r="AG2" s="466" t="s">
        <v>155</v>
      </c>
      <c r="AH2" s="466" t="s">
        <v>155</v>
      </c>
      <c r="AI2" s="466" t="s">
        <v>155</v>
      </c>
      <c r="AJ2" s="466" t="s">
        <v>203</v>
      </c>
      <c r="AK2" s="466" t="s">
        <v>155</v>
      </c>
      <c r="AL2" s="466" t="s">
        <v>203</v>
      </c>
      <c r="AM2" s="466" t="s">
        <v>203</v>
      </c>
      <c r="AN2" s="467" t="s">
        <v>53</v>
      </c>
    </row>
    <row r="3" spans="1:42" ht="20.25" customHeight="1" x14ac:dyDescent="0.2">
      <c r="A3" s="468"/>
      <c r="B3" s="412"/>
      <c r="C3" s="412"/>
      <c r="D3" s="412"/>
      <c r="E3" s="412"/>
      <c r="F3" s="413" t="s">
        <v>137</v>
      </c>
      <c r="G3" s="413" t="s">
        <v>111</v>
      </c>
      <c r="H3" s="412"/>
      <c r="I3" s="413" t="s">
        <v>82</v>
      </c>
      <c r="J3" s="413" t="s">
        <v>115</v>
      </c>
      <c r="K3" s="413" t="s">
        <v>140</v>
      </c>
      <c r="L3" s="483" t="s">
        <v>141</v>
      </c>
      <c r="M3" s="468"/>
      <c r="N3" s="415" t="s">
        <v>142</v>
      </c>
      <c r="O3" s="415" t="s">
        <v>71</v>
      </c>
      <c r="P3" s="415" t="s">
        <v>121</v>
      </c>
      <c r="Q3" s="415" t="s">
        <v>143</v>
      </c>
      <c r="R3" s="416"/>
      <c r="S3" s="415" t="s">
        <v>122</v>
      </c>
      <c r="T3" s="415" t="s">
        <v>146</v>
      </c>
      <c r="U3" s="415" t="s">
        <v>93</v>
      </c>
      <c r="V3" s="415" t="s">
        <v>147</v>
      </c>
      <c r="W3" s="415" t="s">
        <v>97</v>
      </c>
      <c r="X3" s="414"/>
      <c r="Y3" s="415" t="s">
        <v>151</v>
      </c>
      <c r="Z3" s="415" t="s">
        <v>100</v>
      </c>
      <c r="AA3" s="415" t="s">
        <v>101</v>
      </c>
      <c r="AB3" s="415" t="s">
        <v>134</v>
      </c>
      <c r="AC3" s="414" t="s">
        <v>153</v>
      </c>
      <c r="AD3" s="415" t="s">
        <v>105</v>
      </c>
      <c r="AE3" s="415" t="s">
        <v>134</v>
      </c>
      <c r="AF3" s="414" t="s">
        <v>156</v>
      </c>
      <c r="AG3" s="414" t="s">
        <v>190</v>
      </c>
      <c r="AH3" s="414" t="s">
        <v>198</v>
      </c>
      <c r="AI3" s="672" t="s">
        <v>207</v>
      </c>
      <c r="AJ3" s="414" t="s">
        <v>198</v>
      </c>
      <c r="AK3" s="672" t="s">
        <v>212</v>
      </c>
      <c r="AL3" s="672" t="s">
        <v>207</v>
      </c>
      <c r="AM3" s="672" t="s">
        <v>212</v>
      </c>
      <c r="AN3" s="469" t="s">
        <v>204</v>
      </c>
    </row>
    <row r="4" spans="1:42" s="4" customFormat="1" ht="20.25" customHeight="1" x14ac:dyDescent="0.2">
      <c r="A4" s="470"/>
      <c r="B4" s="417"/>
      <c r="C4" s="417"/>
      <c r="D4" s="417"/>
      <c r="E4" s="417"/>
      <c r="F4" s="418"/>
      <c r="G4" s="418"/>
      <c r="H4" s="417"/>
      <c r="I4" s="418"/>
      <c r="J4" s="418"/>
      <c r="K4" s="418"/>
      <c r="L4" s="484"/>
      <c r="M4" s="470"/>
      <c r="N4" s="420"/>
      <c r="O4" s="420"/>
      <c r="P4" s="420"/>
      <c r="Q4" s="419"/>
      <c r="R4" s="420"/>
      <c r="S4" s="420"/>
      <c r="T4" s="420"/>
      <c r="U4" s="420"/>
      <c r="V4" s="420"/>
      <c r="W4" s="420"/>
      <c r="X4" s="419"/>
      <c r="Y4" s="420"/>
      <c r="Z4" s="420"/>
      <c r="AA4" s="420"/>
      <c r="AB4" s="420"/>
      <c r="AC4" s="419"/>
      <c r="AD4" s="420"/>
      <c r="AE4" s="420"/>
      <c r="AF4" s="419"/>
      <c r="AG4" s="772"/>
      <c r="AH4" s="772"/>
      <c r="AI4" s="772"/>
      <c r="AJ4" s="772"/>
      <c r="AK4" s="772"/>
      <c r="AL4" s="772"/>
      <c r="AM4" s="772"/>
      <c r="AN4" s="471"/>
    </row>
    <row r="5" spans="1:42" s="4" customFormat="1" ht="20.25" customHeight="1" x14ac:dyDescent="0.2">
      <c r="A5" s="470"/>
      <c r="B5" s="417"/>
      <c r="C5" s="417"/>
      <c r="D5" s="417"/>
      <c r="E5" s="417"/>
      <c r="F5" s="418"/>
      <c r="G5" s="418"/>
      <c r="H5" s="417"/>
      <c r="I5" s="418"/>
      <c r="J5" s="418"/>
      <c r="K5" s="418"/>
      <c r="L5" s="484"/>
      <c r="M5" s="470"/>
      <c r="N5" s="420"/>
      <c r="O5" s="420"/>
      <c r="P5" s="420"/>
      <c r="Q5" s="419"/>
      <c r="R5" s="420"/>
      <c r="S5" s="420"/>
      <c r="T5" s="420"/>
      <c r="U5" s="420"/>
      <c r="V5" s="420"/>
      <c r="W5" s="420"/>
      <c r="X5" s="419"/>
      <c r="Y5" s="420"/>
      <c r="Z5" s="420"/>
      <c r="AA5" s="420"/>
      <c r="AB5" s="420"/>
      <c r="AC5" s="419"/>
      <c r="AD5" s="420"/>
      <c r="AE5" s="420"/>
      <c r="AF5" s="419"/>
      <c r="AG5" s="772"/>
      <c r="AH5" s="772"/>
      <c r="AI5" s="772"/>
      <c r="AJ5" s="772"/>
      <c r="AK5" s="772"/>
      <c r="AL5" s="772"/>
      <c r="AM5" s="772"/>
      <c r="AN5" s="471"/>
    </row>
    <row r="6" spans="1:42" ht="18" customHeight="1" x14ac:dyDescent="0.25">
      <c r="A6" s="253" t="s">
        <v>1</v>
      </c>
      <c r="B6" s="155" t="s">
        <v>54</v>
      </c>
      <c r="C6" s="155" t="s">
        <v>54</v>
      </c>
      <c r="D6" s="155" t="s">
        <v>54</v>
      </c>
      <c r="E6" s="155" t="s">
        <v>54</v>
      </c>
      <c r="F6" s="156"/>
      <c r="G6" s="156"/>
      <c r="H6" s="155" t="s">
        <v>54</v>
      </c>
      <c r="I6" s="156"/>
      <c r="J6" s="156"/>
      <c r="K6" s="155" t="s">
        <v>54</v>
      </c>
      <c r="L6" s="485"/>
      <c r="M6" s="380" t="s">
        <v>54</v>
      </c>
      <c r="N6" s="156"/>
      <c r="O6" s="156"/>
      <c r="P6" s="156"/>
      <c r="Q6" s="155" t="s">
        <v>54</v>
      </c>
      <c r="R6" s="155" t="s">
        <v>54</v>
      </c>
      <c r="S6" s="156"/>
      <c r="T6" s="156"/>
      <c r="U6" s="156"/>
      <c r="V6" s="156"/>
      <c r="W6" s="156"/>
      <c r="X6" s="155" t="s">
        <v>54</v>
      </c>
      <c r="Y6" s="156"/>
      <c r="Z6" s="156"/>
      <c r="AA6" s="156"/>
      <c r="AB6" s="156"/>
      <c r="AC6" s="155" t="s">
        <v>55</v>
      </c>
      <c r="AD6" s="156"/>
      <c r="AE6" s="156"/>
      <c r="AF6" s="155" t="s">
        <v>55</v>
      </c>
      <c r="AG6" s="155" t="s">
        <v>55</v>
      </c>
      <c r="AH6" s="959" t="s">
        <v>55</v>
      </c>
      <c r="AI6" s="155"/>
      <c r="AJ6" s="155" t="s">
        <v>55</v>
      </c>
      <c r="AK6" s="848"/>
      <c r="AL6" s="848"/>
      <c r="AM6" s="848"/>
      <c r="AN6" s="472"/>
    </row>
    <row r="7" spans="1:42" s="4" customFormat="1" ht="18" customHeight="1" x14ac:dyDescent="0.25">
      <c r="A7" s="271"/>
      <c r="B7" s="421"/>
      <c r="C7" s="421"/>
      <c r="D7" s="421"/>
      <c r="E7" s="421"/>
      <c r="F7" s="422"/>
      <c r="G7" s="422"/>
      <c r="H7" s="421"/>
      <c r="I7" s="422"/>
      <c r="J7" s="422"/>
      <c r="K7" s="421"/>
      <c r="L7" s="486"/>
      <c r="M7" s="504"/>
      <c r="N7" s="422"/>
      <c r="O7" s="422"/>
      <c r="P7" s="422"/>
      <c r="Q7" s="421"/>
      <c r="R7" s="422"/>
      <c r="S7" s="422"/>
      <c r="T7" s="422"/>
      <c r="U7" s="422"/>
      <c r="V7" s="422"/>
      <c r="W7" s="422"/>
      <c r="X7" s="727"/>
      <c r="Y7" s="422"/>
      <c r="Z7" s="422"/>
      <c r="AA7" s="422"/>
      <c r="AB7" s="422"/>
      <c r="AC7" s="421"/>
      <c r="AD7" s="422"/>
      <c r="AE7" s="422"/>
      <c r="AF7" s="421"/>
      <c r="AG7" s="421"/>
      <c r="AH7" s="421"/>
      <c r="AI7" s="966" t="s">
        <v>210</v>
      </c>
      <c r="AJ7" s="421"/>
      <c r="AK7" s="966" t="s">
        <v>210</v>
      </c>
      <c r="AL7" s="969" t="s">
        <v>210</v>
      </c>
      <c r="AM7" s="969"/>
      <c r="AN7" s="473"/>
    </row>
    <row r="8" spans="1:42" ht="15" x14ac:dyDescent="0.25">
      <c r="A8" s="256" t="s">
        <v>57</v>
      </c>
      <c r="B8" s="187">
        <v>642</v>
      </c>
      <c r="C8" s="187">
        <v>515</v>
      </c>
      <c r="D8" s="187">
        <v>627</v>
      </c>
      <c r="E8" s="187">
        <v>724.61</v>
      </c>
      <c r="F8" s="187">
        <v>694</v>
      </c>
      <c r="G8" s="187">
        <v>696.928</v>
      </c>
      <c r="H8" s="187">
        <v>694.9</v>
      </c>
      <c r="I8" s="187">
        <v>739.995</v>
      </c>
      <c r="J8" s="187">
        <v>739.995</v>
      </c>
      <c r="K8" s="187">
        <v>740.96500000000003</v>
      </c>
      <c r="L8" s="487">
        <v>742</v>
      </c>
      <c r="M8" s="505">
        <v>742</v>
      </c>
      <c r="N8" s="187">
        <v>682</v>
      </c>
      <c r="O8" s="187">
        <v>684</v>
      </c>
      <c r="P8" s="187">
        <v>684</v>
      </c>
      <c r="Q8" s="187">
        <v>681</v>
      </c>
      <c r="R8" s="423">
        <v>680</v>
      </c>
      <c r="S8" s="187">
        <v>739</v>
      </c>
      <c r="T8" s="187">
        <v>759</v>
      </c>
      <c r="U8" s="187">
        <v>765</v>
      </c>
      <c r="V8" s="187">
        <v>772</v>
      </c>
      <c r="W8" s="187">
        <v>772</v>
      </c>
      <c r="X8" s="423">
        <v>770</v>
      </c>
      <c r="Y8" s="187">
        <v>680</v>
      </c>
      <c r="Z8" s="187">
        <v>659</v>
      </c>
      <c r="AA8" s="187">
        <v>659</v>
      </c>
      <c r="AB8" s="187">
        <v>658</v>
      </c>
      <c r="AC8" s="187">
        <v>658</v>
      </c>
      <c r="AD8" s="187">
        <v>630</v>
      </c>
      <c r="AE8" s="187">
        <v>621</v>
      </c>
      <c r="AF8" s="423">
        <v>617</v>
      </c>
      <c r="AG8" s="423">
        <v>620</v>
      </c>
      <c r="AH8" s="423">
        <f>'TO '!AH8</f>
        <v>618</v>
      </c>
      <c r="AI8" s="760">
        <f>'TO '!AI8</f>
        <v>618</v>
      </c>
      <c r="AJ8" s="423"/>
      <c r="AK8" s="760"/>
      <c r="AL8" s="856">
        <v>556.96900000000005</v>
      </c>
      <c r="AM8" s="856"/>
      <c r="AN8" s="474">
        <f>(AL8-AI8)/AI8</f>
        <v>-9.8755663430420623E-2</v>
      </c>
    </row>
    <row r="9" spans="1:42" ht="15" x14ac:dyDescent="0.25">
      <c r="A9" s="256" t="s">
        <v>58</v>
      </c>
      <c r="B9" s="424">
        <v>2.1588785046728973</v>
      </c>
      <c r="C9" s="424">
        <v>2.5495145631067961</v>
      </c>
      <c r="D9" s="424">
        <v>2.5119617224880382</v>
      </c>
      <c r="E9" s="424">
        <v>2.3324008777135283</v>
      </c>
      <c r="F9" s="424">
        <v>2.3904899135446684</v>
      </c>
      <c r="G9" s="424">
        <f>G10/G8*10</f>
        <v>23.451059506864411</v>
      </c>
      <c r="H9" s="424">
        <v>2.36</v>
      </c>
      <c r="I9" s="424">
        <v>2.5994702666909912</v>
      </c>
      <c r="J9" s="424">
        <v>2.5994702666909912</v>
      </c>
      <c r="K9" s="424">
        <v>2.5445493376880148</v>
      </c>
      <c r="L9" s="488">
        <v>2.54</v>
      </c>
      <c r="M9" s="506">
        <f>M10/M8*10</f>
        <v>25.4</v>
      </c>
      <c r="N9" s="424">
        <v>2.48</v>
      </c>
      <c r="O9" s="424">
        <v>2.37</v>
      </c>
      <c r="P9" s="424">
        <v>2.3199999999999998</v>
      </c>
      <c r="Q9" s="424">
        <v>2.33</v>
      </c>
      <c r="R9" s="425">
        <f>2.31323529411765*10</f>
        <v>23.132352941176499</v>
      </c>
      <c r="S9" s="424">
        <v>2.4</v>
      </c>
      <c r="T9" s="424">
        <v>2.25</v>
      </c>
      <c r="U9" s="424">
        <v>2.0099999999999998</v>
      </c>
      <c r="V9" s="424">
        <v>2.0499999999999998</v>
      </c>
      <c r="W9" s="424">
        <v>2.0099999999999998</v>
      </c>
      <c r="X9" s="425">
        <v>19.96</v>
      </c>
      <c r="Y9" s="424">
        <v>2.2000000000000002</v>
      </c>
      <c r="Z9" s="424">
        <v>2.41</v>
      </c>
      <c r="AA9" s="424">
        <v>2.39</v>
      </c>
      <c r="AB9" s="424">
        <v>2.42</v>
      </c>
      <c r="AC9" s="426">
        <v>24.24</v>
      </c>
      <c r="AD9" s="424">
        <v>2.36</v>
      </c>
      <c r="AE9" s="424">
        <v>2.2999999999999998</v>
      </c>
      <c r="AF9" s="425">
        <v>20.88</v>
      </c>
      <c r="AG9" s="425">
        <v>19.71</v>
      </c>
      <c r="AH9" s="425">
        <f>'TO '!AH9</f>
        <v>19.149999999999999</v>
      </c>
      <c r="AI9" s="970">
        <f>'TO '!AI9</f>
        <v>19.170000000000002</v>
      </c>
      <c r="AJ9" s="425"/>
      <c r="AK9" s="1022"/>
      <c r="AL9" s="871">
        <f>AVERAGE(R9,AC9,X9)</f>
        <v>22.444117647058835</v>
      </c>
      <c r="AM9" s="871"/>
      <c r="AN9" s="475">
        <f>(AL9-AI9)/AI9</f>
        <v>0.17079382613765431</v>
      </c>
      <c r="AP9" s="963"/>
    </row>
    <row r="10" spans="1:42" ht="15" x14ac:dyDescent="0.25">
      <c r="A10" s="256" t="s">
        <v>56</v>
      </c>
      <c r="B10" s="187">
        <v>1386</v>
      </c>
      <c r="C10" s="187">
        <v>1313</v>
      </c>
      <c r="D10" s="187">
        <v>1575</v>
      </c>
      <c r="E10" s="187">
        <v>1690.0809999999999</v>
      </c>
      <c r="F10" s="187">
        <v>1659</v>
      </c>
      <c r="G10" s="187">
        <v>1634.37</v>
      </c>
      <c r="H10" s="187">
        <v>1639.9639999999999</v>
      </c>
      <c r="I10" s="187">
        <v>1923.595</v>
      </c>
      <c r="J10" s="187">
        <v>1923.595</v>
      </c>
      <c r="K10" s="187">
        <v>1885.422</v>
      </c>
      <c r="L10" s="487">
        <v>1884.68</v>
      </c>
      <c r="M10" s="505">
        <v>1884.68</v>
      </c>
      <c r="N10" s="187">
        <v>1691.36</v>
      </c>
      <c r="O10" s="187">
        <v>1620</v>
      </c>
      <c r="P10" s="187">
        <v>1586</v>
      </c>
      <c r="Q10" s="187">
        <v>1585</v>
      </c>
      <c r="R10" s="423">
        <v>1573</v>
      </c>
      <c r="S10" s="187">
        <v>1773.6</v>
      </c>
      <c r="T10" s="187">
        <v>1735</v>
      </c>
      <c r="U10" s="187">
        <v>1537</v>
      </c>
      <c r="V10" s="187">
        <v>1582</v>
      </c>
      <c r="W10" s="187">
        <v>1551</v>
      </c>
      <c r="X10" s="423">
        <v>1537</v>
      </c>
      <c r="Y10" s="187">
        <v>1496</v>
      </c>
      <c r="Z10" s="187">
        <v>1591</v>
      </c>
      <c r="AA10" s="187">
        <v>1572</v>
      </c>
      <c r="AB10" s="187">
        <v>1594</v>
      </c>
      <c r="AC10" s="187">
        <v>1595</v>
      </c>
      <c r="AD10" s="187">
        <v>1486.8</v>
      </c>
      <c r="AE10" s="187">
        <v>1428.3</v>
      </c>
      <c r="AF10" s="423">
        <v>1288</v>
      </c>
      <c r="AG10" s="423">
        <v>1222</v>
      </c>
      <c r="AH10" s="423">
        <f>'TO '!AH10</f>
        <v>1184</v>
      </c>
      <c r="AI10" s="760">
        <f>'TO '!AI10</f>
        <v>1184.7060000000001</v>
      </c>
      <c r="AJ10" s="423"/>
      <c r="AK10" s="760"/>
      <c r="AL10" s="856">
        <f>(AL8*AL9)/10</f>
        <v>1250.0677761764714</v>
      </c>
      <c r="AM10" s="856"/>
      <c r="AN10" s="475">
        <f>(AL10-AI10)/AI10</f>
        <v>5.5171305097189732E-2</v>
      </c>
    </row>
    <row r="11" spans="1:42" ht="15" customHeight="1" x14ac:dyDescent="0.25">
      <c r="A11" s="256"/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487"/>
      <c r="M11" s="50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778"/>
      <c r="AJ11" s="187"/>
      <c r="AK11" s="778"/>
      <c r="AL11" s="872"/>
      <c r="AM11" s="872"/>
      <c r="AN11" s="475"/>
    </row>
    <row r="12" spans="1:42" ht="14.25" x14ac:dyDescent="0.2">
      <c r="A12" s="957" t="s">
        <v>60</v>
      </c>
      <c r="B12" s="174" t="str">
        <f>IF(B22="","",B10-B22)</f>
        <v/>
      </c>
      <c r="C12" s="174">
        <v>93</v>
      </c>
      <c r="D12" s="174">
        <v>172</v>
      </c>
      <c r="E12" s="174">
        <v>64.080999999999904</v>
      </c>
      <c r="F12" s="174">
        <v>59</v>
      </c>
      <c r="G12" s="174">
        <v>60.369999999999891</v>
      </c>
      <c r="H12" s="174">
        <v>109.96399999999994</v>
      </c>
      <c r="I12" s="174">
        <v>208.83</v>
      </c>
      <c r="J12" s="174">
        <v>208.83</v>
      </c>
      <c r="K12" s="174">
        <v>185.70700000000011</v>
      </c>
      <c r="L12" s="243">
        <v>179.68</v>
      </c>
      <c r="M12" s="386">
        <v>181.68</v>
      </c>
      <c r="N12" s="174">
        <v>191.36</v>
      </c>
      <c r="O12" s="174">
        <v>112</v>
      </c>
      <c r="P12" s="174">
        <v>127</v>
      </c>
      <c r="Q12" s="174">
        <v>96</v>
      </c>
      <c r="R12" s="175">
        <v>102</v>
      </c>
      <c r="S12" s="174">
        <v>141.88799999999992</v>
      </c>
      <c r="T12" s="174">
        <v>137</v>
      </c>
      <c r="U12" s="174">
        <v>104</v>
      </c>
      <c r="V12" s="174">
        <v>159</v>
      </c>
      <c r="W12" s="174">
        <v>149</v>
      </c>
      <c r="X12" s="175">
        <v>131</v>
      </c>
      <c r="Y12" s="174">
        <v>104.72</v>
      </c>
      <c r="Z12" s="174">
        <v>161</v>
      </c>
      <c r="AA12" s="174"/>
      <c r="AB12" s="174"/>
      <c r="AC12" s="175">
        <v>113</v>
      </c>
      <c r="AD12" s="174"/>
      <c r="AE12" s="174"/>
      <c r="AF12" s="175">
        <v>130</v>
      </c>
      <c r="AG12" s="175">
        <f>AG10-AG21</f>
        <v>78</v>
      </c>
      <c r="AH12" s="175">
        <f>'TO '!AH12</f>
        <v>39</v>
      </c>
      <c r="AI12" s="761"/>
      <c r="AJ12" s="175"/>
      <c r="AK12" s="761"/>
      <c r="AL12" s="865"/>
      <c r="AM12" s="865"/>
      <c r="AN12" s="257" t="e">
        <f>(AL12-AI12)/AI12</f>
        <v>#DIV/0!</v>
      </c>
    </row>
    <row r="13" spans="1:42" ht="15" x14ac:dyDescent="0.25">
      <c r="A13" s="976" t="s">
        <v>61</v>
      </c>
      <c r="B13" s="427" t="e">
        <f>(B12/B10)</f>
        <v>#VALUE!</v>
      </c>
      <c r="C13" s="427">
        <v>93</v>
      </c>
      <c r="D13" s="427">
        <v>172</v>
      </c>
      <c r="E13" s="427">
        <v>64</v>
      </c>
      <c r="F13" s="427"/>
      <c r="G13" s="427"/>
      <c r="H13" s="427">
        <v>110</v>
      </c>
      <c r="I13" s="428"/>
      <c r="J13" s="428"/>
      <c r="K13" s="428"/>
      <c r="L13" s="489"/>
      <c r="M13" s="387">
        <f>M12/M10</f>
        <v>9.6398327567544628E-2</v>
      </c>
      <c r="N13" s="182"/>
      <c r="O13" s="182"/>
      <c r="P13" s="182"/>
      <c r="Q13" s="182"/>
      <c r="R13" s="181">
        <f t="shared" ref="R13:AG13" si="0">R12/R10</f>
        <v>6.4844246662428481E-2</v>
      </c>
      <c r="S13" s="182">
        <f t="shared" si="0"/>
        <v>7.999999999999996E-2</v>
      </c>
      <c r="T13" s="182">
        <f t="shared" si="0"/>
        <v>7.8962536023054752E-2</v>
      </c>
      <c r="U13" s="182">
        <f t="shared" si="0"/>
        <v>6.7664281067013665E-2</v>
      </c>
      <c r="V13" s="182">
        <f t="shared" si="0"/>
        <v>0.10050568900126422</v>
      </c>
      <c r="W13" s="182">
        <f t="shared" si="0"/>
        <v>9.6067053513862022E-2</v>
      </c>
      <c r="X13" s="181">
        <f t="shared" si="0"/>
        <v>8.5230969420949904E-2</v>
      </c>
      <c r="Y13" s="182">
        <f t="shared" si="0"/>
        <v>6.9999999999999993E-2</v>
      </c>
      <c r="Z13" s="182">
        <f t="shared" si="0"/>
        <v>0.10119421747328725</v>
      </c>
      <c r="AA13" s="182">
        <f t="shared" si="0"/>
        <v>0</v>
      </c>
      <c r="AB13" s="182">
        <f t="shared" si="0"/>
        <v>0</v>
      </c>
      <c r="AC13" s="181">
        <f t="shared" si="0"/>
        <v>7.0846394984326017E-2</v>
      </c>
      <c r="AD13" s="182">
        <f t="shared" si="0"/>
        <v>0</v>
      </c>
      <c r="AE13" s="182">
        <f t="shared" si="0"/>
        <v>0</v>
      </c>
      <c r="AF13" s="181">
        <f t="shared" si="0"/>
        <v>0.10093167701863354</v>
      </c>
      <c r="AG13" s="181">
        <f t="shared" si="0"/>
        <v>6.3829787234042548E-2</v>
      </c>
      <c r="AH13" s="181">
        <f>'TO '!AH13</f>
        <v>3.2939189189189186E-2</v>
      </c>
      <c r="AI13" s="762"/>
      <c r="AJ13" s="181"/>
      <c r="AK13" s="762"/>
      <c r="AL13" s="859"/>
      <c r="AM13" s="859"/>
      <c r="AN13" s="476"/>
    </row>
    <row r="14" spans="1:42" ht="15" customHeight="1" x14ac:dyDescent="0.25">
      <c r="A14" s="477" t="s">
        <v>44</v>
      </c>
      <c r="B14" s="429"/>
      <c r="C14" s="430"/>
      <c r="D14" s="221"/>
      <c r="E14" s="221"/>
      <c r="F14" s="221"/>
      <c r="G14" s="221"/>
      <c r="H14" s="221"/>
      <c r="I14" s="221"/>
      <c r="J14" s="221"/>
      <c r="K14" s="221"/>
      <c r="L14" s="490"/>
      <c r="M14" s="508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779"/>
      <c r="AJ14" s="221"/>
      <c r="AK14" s="779"/>
      <c r="AL14" s="873"/>
      <c r="AM14" s="873"/>
      <c r="AN14" s="475"/>
    </row>
    <row r="15" spans="1:42" ht="15" x14ac:dyDescent="0.25">
      <c r="A15" s="957" t="s">
        <v>199</v>
      </c>
      <c r="B15" s="431"/>
      <c r="C15" s="431"/>
      <c r="D15" s="431"/>
      <c r="E15" s="431"/>
      <c r="F15" s="431"/>
      <c r="G15" s="431"/>
      <c r="H15" s="431"/>
      <c r="I15" s="431">
        <v>1107.5709999999999</v>
      </c>
      <c r="J15" s="431">
        <v>1107.5709999999999</v>
      </c>
      <c r="K15" s="431">
        <v>1415.992</v>
      </c>
      <c r="L15" s="491"/>
      <c r="M15" s="509"/>
      <c r="N15" s="431"/>
      <c r="O15" s="431"/>
      <c r="P15" s="431"/>
      <c r="Q15" s="431"/>
      <c r="R15" s="431"/>
      <c r="S15" s="431"/>
      <c r="T15" s="431"/>
      <c r="U15" s="431">
        <v>1047</v>
      </c>
      <c r="V15" s="431">
        <v>1160</v>
      </c>
      <c r="W15" s="431">
        <v>1272</v>
      </c>
      <c r="X15" s="431"/>
      <c r="Y15" s="431"/>
      <c r="Z15" s="431"/>
      <c r="AA15" s="431">
        <v>1203</v>
      </c>
      <c r="AB15" s="431"/>
      <c r="AC15" s="431"/>
      <c r="AD15" s="431"/>
      <c r="AE15" s="431"/>
      <c r="AF15" s="431"/>
      <c r="AG15" s="431"/>
      <c r="AH15" s="431"/>
      <c r="AI15" s="764"/>
      <c r="AJ15" s="431"/>
      <c r="AK15" s="1023"/>
      <c r="AL15" s="858"/>
      <c r="AM15" s="858"/>
      <c r="AN15" s="475"/>
    </row>
    <row r="16" spans="1:42" ht="15" x14ac:dyDescent="0.25">
      <c r="A16" s="954" t="s">
        <v>192</v>
      </c>
      <c r="B16" s="182"/>
      <c r="C16" s="182"/>
      <c r="D16" s="182"/>
      <c r="E16" s="182"/>
      <c r="F16" s="182"/>
      <c r="G16" s="182"/>
      <c r="H16" s="182"/>
      <c r="I16" s="182">
        <v>0.57578180438189941</v>
      </c>
      <c r="J16" s="182">
        <v>0.57578180438189941</v>
      </c>
      <c r="K16" s="182">
        <v>0.75102125677964926</v>
      </c>
      <c r="L16" s="492"/>
      <c r="M16" s="387"/>
      <c r="N16" s="182"/>
      <c r="O16" s="182"/>
      <c r="P16" s="182"/>
      <c r="Q16" s="182"/>
      <c r="R16" s="182"/>
      <c r="S16" s="182"/>
      <c r="T16" s="182"/>
      <c r="U16" s="182">
        <v>0.68119713728041642</v>
      </c>
      <c r="V16" s="182">
        <v>0.73324905183312261</v>
      </c>
      <c r="W16" s="182">
        <v>0.82011605415860733</v>
      </c>
      <c r="X16" s="182"/>
      <c r="Y16" s="182"/>
      <c r="Z16" s="182"/>
      <c r="AA16" s="182">
        <v>0.76526717557251911</v>
      </c>
      <c r="AB16" s="182"/>
      <c r="AC16" s="789">
        <f>AC15/AC10</f>
        <v>0</v>
      </c>
      <c r="AD16" s="182"/>
      <c r="AE16" s="182"/>
      <c r="AF16" s="790">
        <f>AF15/AF10</f>
        <v>0</v>
      </c>
      <c r="AG16" s="181"/>
      <c r="AH16" s="181"/>
      <c r="AI16" s="762"/>
      <c r="AJ16" s="181"/>
      <c r="AK16" s="762"/>
      <c r="AL16" s="859"/>
      <c r="AM16" s="859"/>
      <c r="AN16" s="475"/>
    </row>
    <row r="17" spans="1:43" ht="15" x14ac:dyDescent="0.25">
      <c r="A17" s="954" t="s">
        <v>29</v>
      </c>
      <c r="B17" s="429"/>
      <c r="C17" s="433"/>
      <c r="D17" s="434"/>
      <c r="E17" s="434"/>
      <c r="F17" s="434"/>
      <c r="G17" s="434"/>
      <c r="H17" s="434"/>
      <c r="I17" s="435"/>
      <c r="J17" s="435"/>
      <c r="K17" s="435"/>
      <c r="L17" s="493"/>
      <c r="M17" s="510"/>
      <c r="N17" s="434"/>
      <c r="O17" s="434"/>
      <c r="P17" s="434"/>
      <c r="Q17" s="434"/>
      <c r="R17" s="434"/>
      <c r="S17" s="434"/>
      <c r="T17" s="434"/>
      <c r="U17" s="434"/>
      <c r="V17" s="434"/>
      <c r="W17" s="182">
        <v>0.90727532097004282</v>
      </c>
      <c r="X17" s="182"/>
      <c r="Y17" s="182"/>
      <c r="Z17" s="182"/>
      <c r="AA17" s="182">
        <v>0.84184744576627013</v>
      </c>
      <c r="AB17" s="182"/>
      <c r="AC17" s="789">
        <f>AC15/AC21</f>
        <v>0</v>
      </c>
      <c r="AD17" s="182"/>
      <c r="AE17" s="182"/>
      <c r="AF17" s="790">
        <f>AF15/AF21</f>
        <v>0</v>
      </c>
      <c r="AG17" s="181"/>
      <c r="AH17" s="181"/>
      <c r="AI17" s="762"/>
      <c r="AJ17" s="181"/>
      <c r="AK17" s="762"/>
      <c r="AL17" s="859"/>
      <c r="AM17" s="859"/>
      <c r="AN17" s="475"/>
    </row>
    <row r="18" spans="1:43" ht="15" x14ac:dyDescent="0.25">
      <c r="A18" s="262"/>
      <c r="B18" s="429"/>
      <c r="C18" s="433"/>
      <c r="D18" s="434"/>
      <c r="E18" s="434"/>
      <c r="F18" s="434"/>
      <c r="G18" s="434"/>
      <c r="H18" s="434"/>
      <c r="I18" s="435"/>
      <c r="J18" s="435"/>
      <c r="K18" s="435"/>
      <c r="L18" s="493"/>
      <c r="M18" s="510"/>
      <c r="N18" s="434"/>
      <c r="O18" s="434"/>
      <c r="P18" s="434"/>
      <c r="Q18" s="434"/>
      <c r="R18" s="434"/>
      <c r="S18" s="434"/>
      <c r="T18" s="434"/>
      <c r="U18" s="434"/>
      <c r="V18" s="434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780"/>
      <c r="AJ18" s="182"/>
      <c r="AK18" s="780"/>
      <c r="AL18" s="874"/>
      <c r="AM18" s="874"/>
      <c r="AN18" s="475"/>
    </row>
    <row r="19" spans="1:43" ht="15" x14ac:dyDescent="0.25">
      <c r="A19" s="455" t="s">
        <v>59</v>
      </c>
      <c r="B19" s="429"/>
      <c r="C19" s="433"/>
      <c r="D19" s="434"/>
      <c r="E19" s="434"/>
      <c r="F19" s="434"/>
      <c r="G19" s="434"/>
      <c r="H19" s="434"/>
      <c r="I19" s="434"/>
      <c r="J19" s="434"/>
      <c r="K19" s="434"/>
      <c r="L19" s="493"/>
      <c r="M19" s="510"/>
      <c r="N19" s="434"/>
      <c r="O19" s="434"/>
      <c r="P19" s="434"/>
      <c r="Q19" s="434"/>
      <c r="R19" s="434"/>
      <c r="S19" s="434"/>
      <c r="T19" s="434"/>
      <c r="U19" s="434"/>
      <c r="V19" s="434"/>
      <c r="W19" s="434"/>
      <c r="X19" s="434"/>
      <c r="Y19" s="434"/>
      <c r="Z19" s="434"/>
      <c r="AA19" s="434"/>
      <c r="AB19" s="434"/>
      <c r="AC19" s="434"/>
      <c r="AD19" s="434"/>
      <c r="AE19" s="434"/>
      <c r="AF19" s="434"/>
      <c r="AG19" s="434"/>
      <c r="AH19" s="434"/>
      <c r="AI19" s="781"/>
      <c r="AJ19" s="434"/>
      <c r="AK19" s="781"/>
      <c r="AL19" s="875"/>
      <c r="AM19" s="875"/>
      <c r="AN19" s="475"/>
    </row>
    <row r="20" spans="1:43" ht="15" x14ac:dyDescent="0.25">
      <c r="A20" s="610" t="s">
        <v>2</v>
      </c>
      <c r="B20" s="202">
        <v>155</v>
      </c>
      <c r="C20" s="202">
        <v>235</v>
      </c>
      <c r="D20" s="199">
        <v>154.9</v>
      </c>
      <c r="E20" s="199">
        <v>189.9</v>
      </c>
      <c r="F20" s="199">
        <v>240</v>
      </c>
      <c r="G20" s="199">
        <v>237.62599999999998</v>
      </c>
      <c r="H20" s="199">
        <v>238</v>
      </c>
      <c r="I20" s="199">
        <v>239</v>
      </c>
      <c r="J20" s="199">
        <v>230.62599999999998</v>
      </c>
      <c r="K20" s="199">
        <v>208.46900000000005</v>
      </c>
      <c r="L20" s="367">
        <v>208.46900000000005</v>
      </c>
      <c r="M20" s="393">
        <v>208</v>
      </c>
      <c r="N20" s="199">
        <v>206</v>
      </c>
      <c r="O20" s="199">
        <v>206</v>
      </c>
      <c r="P20" s="199">
        <v>206</v>
      </c>
      <c r="Q20" s="199">
        <v>206</v>
      </c>
      <c r="R20" s="200">
        <v>206</v>
      </c>
      <c r="S20" s="199">
        <v>310</v>
      </c>
      <c r="T20" s="199">
        <v>248.58</v>
      </c>
      <c r="U20" s="199">
        <v>249</v>
      </c>
      <c r="V20" s="199">
        <v>249</v>
      </c>
      <c r="W20" s="199">
        <v>249</v>
      </c>
      <c r="X20" s="200">
        <v>249</v>
      </c>
      <c r="Y20" s="199">
        <v>152.96</v>
      </c>
      <c r="Z20" s="199">
        <v>167.52</v>
      </c>
      <c r="AA20" s="199">
        <v>168</v>
      </c>
      <c r="AB20" s="199">
        <v>168</v>
      </c>
      <c r="AC20" s="200">
        <v>168</v>
      </c>
      <c r="AD20" s="199">
        <v>148.76</v>
      </c>
      <c r="AE20" s="199">
        <v>102</v>
      </c>
      <c r="AF20" s="729">
        <v>101</v>
      </c>
      <c r="AG20" s="729">
        <v>101</v>
      </c>
      <c r="AH20" s="729">
        <f>'TO '!AH20</f>
        <v>101</v>
      </c>
      <c r="AI20" s="782">
        <f>'TO '!AI43</f>
        <v>12.644999999999982</v>
      </c>
      <c r="AJ20" s="729">
        <f>AH43</f>
        <v>96.099999999999909</v>
      </c>
      <c r="AK20" s="782"/>
      <c r="AL20" s="876">
        <v>34</v>
      </c>
      <c r="AM20" s="876"/>
      <c r="AN20" s="475">
        <f>(AL20-AI20)/AI20</f>
        <v>1.6888098062475325</v>
      </c>
    </row>
    <row r="21" spans="1:43" ht="15" x14ac:dyDescent="0.25">
      <c r="A21" s="611" t="s">
        <v>21</v>
      </c>
      <c r="B21" s="202">
        <v>1365</v>
      </c>
      <c r="C21" s="202">
        <v>1220</v>
      </c>
      <c r="D21" s="202">
        <v>1403</v>
      </c>
      <c r="E21" s="202">
        <v>1626</v>
      </c>
      <c r="F21" s="202">
        <v>1600</v>
      </c>
      <c r="G21" s="202">
        <v>1574</v>
      </c>
      <c r="H21" s="202">
        <v>1530</v>
      </c>
      <c r="I21" s="436">
        <v>1714.7650000000001</v>
      </c>
      <c r="J21" s="436">
        <v>1714.7650000000001</v>
      </c>
      <c r="K21" s="436">
        <v>1699.7149999999999</v>
      </c>
      <c r="L21" s="368">
        <v>1705</v>
      </c>
      <c r="M21" s="511">
        <v>1703</v>
      </c>
      <c r="N21" s="202">
        <v>1500</v>
      </c>
      <c r="O21" s="202">
        <v>1508</v>
      </c>
      <c r="P21" s="202">
        <v>1459</v>
      </c>
      <c r="Q21" s="202">
        <v>1489</v>
      </c>
      <c r="R21" s="722">
        <v>1471</v>
      </c>
      <c r="S21" s="202">
        <v>1631.712</v>
      </c>
      <c r="T21" s="202">
        <v>1598</v>
      </c>
      <c r="U21" s="202">
        <v>1433</v>
      </c>
      <c r="V21" s="202">
        <v>1423</v>
      </c>
      <c r="W21" s="202">
        <v>1402</v>
      </c>
      <c r="X21" s="722">
        <v>1406</v>
      </c>
      <c r="Y21" s="202">
        <v>1391.28</v>
      </c>
      <c r="Z21" s="202">
        <v>1430</v>
      </c>
      <c r="AA21" s="202">
        <v>1429</v>
      </c>
      <c r="AB21" s="202">
        <v>1494</v>
      </c>
      <c r="AC21" s="722">
        <v>1484</v>
      </c>
      <c r="AD21" s="202">
        <v>1367.856</v>
      </c>
      <c r="AE21" s="202">
        <v>1314.0360000000001</v>
      </c>
      <c r="AF21" s="722">
        <v>1158</v>
      </c>
      <c r="AG21" s="722">
        <v>1144</v>
      </c>
      <c r="AH21" s="722">
        <f>'TO '!AH21</f>
        <v>1145</v>
      </c>
      <c r="AI21" s="768">
        <f>'TO '!AI21</f>
        <v>1138</v>
      </c>
      <c r="AJ21" s="722"/>
      <c r="AK21" s="768"/>
      <c r="AL21" s="864">
        <f>AL22*AL10</f>
        <v>1200.7849452006019</v>
      </c>
      <c r="AM21" s="864"/>
      <c r="AN21" s="475">
        <f>(AL21-AI21)/AI21</f>
        <v>5.5171305097189718E-2</v>
      </c>
    </row>
    <row r="22" spans="1:43" ht="15" x14ac:dyDescent="0.25">
      <c r="A22" s="262" t="s">
        <v>30</v>
      </c>
      <c r="B22" s="202"/>
      <c r="C22" s="209">
        <v>0.92916984006092918</v>
      </c>
      <c r="D22" s="209">
        <v>0.8907936507936508</v>
      </c>
      <c r="E22" s="209">
        <v>0.96208406579329631</v>
      </c>
      <c r="F22" s="202"/>
      <c r="G22" s="202"/>
      <c r="H22" s="209">
        <v>0.93294730859945707</v>
      </c>
      <c r="I22" s="436"/>
      <c r="J22" s="436"/>
      <c r="K22" s="436"/>
      <c r="L22" s="368"/>
      <c r="M22" s="387">
        <v>0.90360167243245537</v>
      </c>
      <c r="N22" s="202"/>
      <c r="O22" s="209"/>
      <c r="P22" s="209"/>
      <c r="Q22" s="209">
        <v>0.93943217665615142</v>
      </c>
      <c r="R22" s="181">
        <v>0.9351557533375715</v>
      </c>
      <c r="S22" s="209">
        <v>0.92</v>
      </c>
      <c r="T22" s="209">
        <v>0.92103746397694519</v>
      </c>
      <c r="U22" s="209">
        <v>0.93233571893298639</v>
      </c>
      <c r="V22" s="209">
        <v>0.89949431099873578</v>
      </c>
      <c r="W22" s="209">
        <v>0.90393294648613798</v>
      </c>
      <c r="X22" s="181">
        <v>0.91476903057905012</v>
      </c>
      <c r="Y22" s="209">
        <v>0.93</v>
      </c>
      <c r="Z22" s="209">
        <v>0.89880578252671273</v>
      </c>
      <c r="AA22" s="209">
        <v>0.90903307888040707</v>
      </c>
      <c r="AB22" s="209">
        <v>0.93726474278544547</v>
      </c>
      <c r="AC22" s="181">
        <v>0.92915360501567401</v>
      </c>
      <c r="AD22" s="209">
        <v>0.92</v>
      </c>
      <c r="AE22" s="209">
        <v>0.92</v>
      </c>
      <c r="AF22" s="181">
        <v>0.89906832298136641</v>
      </c>
      <c r="AG22" s="181">
        <f>AG21/AG10</f>
        <v>0.93617021276595747</v>
      </c>
      <c r="AH22" s="181">
        <f>'TO '!AH22</f>
        <v>0.96706081081081086</v>
      </c>
      <c r="AI22" s="762">
        <f>'TO '!AI22</f>
        <v>0.9605758728325845</v>
      </c>
      <c r="AJ22" s="181"/>
      <c r="AK22" s="762"/>
      <c r="AL22" s="859">
        <f>AI22</f>
        <v>0.9605758728325845</v>
      </c>
      <c r="AM22" s="859"/>
      <c r="AN22" s="475"/>
    </row>
    <row r="23" spans="1:43" ht="15" x14ac:dyDescent="0.25">
      <c r="A23" s="612" t="s">
        <v>31</v>
      </c>
      <c r="B23" s="222"/>
      <c r="C23" s="437"/>
      <c r="D23" s="215"/>
      <c r="E23" s="209"/>
      <c r="F23" s="215"/>
      <c r="G23" s="215"/>
      <c r="H23" s="438">
        <v>30</v>
      </c>
      <c r="I23" s="215"/>
      <c r="J23" s="215"/>
      <c r="K23" s="215"/>
      <c r="L23" s="494"/>
      <c r="M23" s="386">
        <v>-90</v>
      </c>
      <c r="N23" s="209"/>
      <c r="O23" s="209"/>
      <c r="P23" s="209"/>
      <c r="Q23" s="209"/>
      <c r="R23" s="175">
        <v>-100</v>
      </c>
      <c r="S23" s="209"/>
      <c r="T23" s="209"/>
      <c r="U23" s="209"/>
      <c r="V23" s="209"/>
      <c r="W23" s="215"/>
      <c r="X23" s="728">
        <v>40</v>
      </c>
      <c r="Y23" s="215"/>
      <c r="Z23" s="215"/>
      <c r="AA23" s="215"/>
      <c r="AB23" s="215"/>
      <c r="AC23" s="200"/>
      <c r="AD23" s="215"/>
      <c r="AE23" s="215"/>
      <c r="AF23" s="730"/>
      <c r="AG23" s="730"/>
      <c r="AH23" s="730"/>
      <c r="AI23" s="783"/>
      <c r="AJ23" s="730"/>
      <c r="AK23" s="783"/>
      <c r="AL23" s="877"/>
      <c r="AM23" s="877"/>
      <c r="AN23" s="475"/>
    </row>
    <row r="24" spans="1:43" ht="15" x14ac:dyDescent="0.25">
      <c r="A24" s="455" t="s">
        <v>20</v>
      </c>
      <c r="B24" s="439">
        <v>210</v>
      </c>
      <c r="C24" s="440">
        <v>41.6</v>
      </c>
      <c r="D24" s="439">
        <v>228</v>
      </c>
      <c r="E24" s="439">
        <v>148</v>
      </c>
      <c r="F24" s="439">
        <v>175</v>
      </c>
      <c r="G24" s="439">
        <v>235</v>
      </c>
      <c r="H24" s="440">
        <v>270</v>
      </c>
      <c r="I24" s="441">
        <v>530</v>
      </c>
      <c r="J24" s="441">
        <v>530</v>
      </c>
      <c r="K24" s="441">
        <v>390</v>
      </c>
      <c r="L24" s="495">
        <v>340</v>
      </c>
      <c r="M24" s="563">
        <v>353</v>
      </c>
      <c r="N24" s="530">
        <v>170</v>
      </c>
      <c r="O24" s="530">
        <v>130</v>
      </c>
      <c r="P24" s="530">
        <v>130</v>
      </c>
      <c r="Q24" s="530">
        <v>180</v>
      </c>
      <c r="R24" s="530">
        <v>237</v>
      </c>
      <c r="S24" s="530">
        <v>170</v>
      </c>
      <c r="T24" s="530">
        <v>490</v>
      </c>
      <c r="U24" s="530">
        <v>440</v>
      </c>
      <c r="V24" s="530">
        <v>450</v>
      </c>
      <c r="W24" s="530">
        <v>460</v>
      </c>
      <c r="X24" s="530">
        <v>475</v>
      </c>
      <c r="Y24" s="530">
        <v>390</v>
      </c>
      <c r="Z24" s="530">
        <v>300</v>
      </c>
      <c r="AA24" s="530">
        <v>290</v>
      </c>
      <c r="AB24" s="530">
        <v>269</v>
      </c>
      <c r="AC24" s="530">
        <v>265</v>
      </c>
      <c r="AD24" s="530">
        <v>450</v>
      </c>
      <c r="AE24" s="530">
        <v>400</v>
      </c>
      <c r="AF24" s="530">
        <v>360</v>
      </c>
      <c r="AG24" s="756">
        <f>AG25+AG26</f>
        <v>250</v>
      </c>
      <c r="AH24" s="756">
        <f>AH25+AH26</f>
        <v>270</v>
      </c>
      <c r="AI24" s="756">
        <f>AI25+AI26</f>
        <v>270</v>
      </c>
      <c r="AJ24" s="756">
        <f>AJ25+AJ26</f>
        <v>0</v>
      </c>
      <c r="AK24" s="756"/>
      <c r="AL24" s="756">
        <f>AL25+AL26</f>
        <v>450</v>
      </c>
      <c r="AM24" s="756"/>
      <c r="AN24" s="478">
        <f>(AL24-AI24)/AI24</f>
        <v>0.66666666666666663</v>
      </c>
    </row>
    <row r="25" spans="1:43" ht="14.25" x14ac:dyDescent="0.2">
      <c r="A25" s="602" t="s">
        <v>45</v>
      </c>
      <c r="B25" s="221">
        <v>18</v>
      </c>
      <c r="C25" s="174">
        <v>33.299999999999997</v>
      </c>
      <c r="D25" s="221">
        <v>85</v>
      </c>
      <c r="E25" s="221">
        <v>105</v>
      </c>
      <c r="F25" s="221">
        <v>150</v>
      </c>
      <c r="G25" s="221">
        <v>175</v>
      </c>
      <c r="H25" s="174">
        <v>206</v>
      </c>
      <c r="I25" s="221">
        <v>430</v>
      </c>
      <c r="J25" s="221">
        <v>430</v>
      </c>
      <c r="K25" s="221">
        <v>360</v>
      </c>
      <c r="L25" s="243">
        <v>330</v>
      </c>
      <c r="M25" s="386">
        <v>347</v>
      </c>
      <c r="N25" s="174">
        <v>165</v>
      </c>
      <c r="O25" s="174">
        <v>120</v>
      </c>
      <c r="P25" s="174">
        <v>115</v>
      </c>
      <c r="Q25" s="174">
        <v>160</v>
      </c>
      <c r="R25" s="175">
        <v>215</v>
      </c>
      <c r="S25" s="174">
        <v>150</v>
      </c>
      <c r="T25" s="174">
        <v>470</v>
      </c>
      <c r="U25" s="174">
        <v>425</v>
      </c>
      <c r="V25" s="174">
        <v>440</v>
      </c>
      <c r="W25" s="174">
        <v>430</v>
      </c>
      <c r="X25" s="175">
        <v>447</v>
      </c>
      <c r="Y25" s="174">
        <v>380</v>
      </c>
      <c r="Z25" s="174">
        <v>285</v>
      </c>
      <c r="AA25" s="174">
        <v>280</v>
      </c>
      <c r="AB25" s="174">
        <v>259</v>
      </c>
      <c r="AC25" s="175">
        <v>251</v>
      </c>
      <c r="AD25" s="174">
        <v>440</v>
      </c>
      <c r="AE25" s="174">
        <v>390</v>
      </c>
      <c r="AF25" s="175">
        <v>350</v>
      </c>
      <c r="AG25" s="175">
        <v>220</v>
      </c>
      <c r="AH25" s="175">
        <f>'TO '!AH25</f>
        <v>160</v>
      </c>
      <c r="AI25" s="761">
        <f>'TO '!AI25</f>
        <v>160</v>
      </c>
      <c r="AJ25" s="175"/>
      <c r="AK25" s="679"/>
      <c r="AL25" s="761">
        <v>150</v>
      </c>
      <c r="AM25" s="761"/>
      <c r="AN25" s="257">
        <f>(AL25-AI25)/AI25</f>
        <v>-6.25E-2</v>
      </c>
    </row>
    <row r="26" spans="1:43" ht="14.25" x14ac:dyDescent="0.2">
      <c r="A26" s="602" t="s">
        <v>3</v>
      </c>
      <c r="B26" s="221">
        <v>192</v>
      </c>
      <c r="C26" s="174">
        <v>8.3000000000000007</v>
      </c>
      <c r="D26" s="221">
        <v>143</v>
      </c>
      <c r="E26" s="221">
        <v>43</v>
      </c>
      <c r="F26" s="221">
        <v>25</v>
      </c>
      <c r="G26" s="221">
        <v>60</v>
      </c>
      <c r="H26" s="174">
        <v>64</v>
      </c>
      <c r="I26" s="221">
        <v>100</v>
      </c>
      <c r="J26" s="221">
        <v>100</v>
      </c>
      <c r="K26" s="221">
        <v>30</v>
      </c>
      <c r="L26" s="243">
        <v>10</v>
      </c>
      <c r="M26" s="386">
        <v>6</v>
      </c>
      <c r="N26" s="174">
        <v>5</v>
      </c>
      <c r="O26" s="174">
        <v>10</v>
      </c>
      <c r="P26" s="174">
        <v>15</v>
      </c>
      <c r="Q26" s="174">
        <v>20</v>
      </c>
      <c r="R26" s="175">
        <v>22</v>
      </c>
      <c r="S26" s="174">
        <v>20</v>
      </c>
      <c r="T26" s="174">
        <v>20</v>
      </c>
      <c r="U26" s="174">
        <v>15</v>
      </c>
      <c r="V26" s="174">
        <v>10</v>
      </c>
      <c r="W26" s="174">
        <v>30</v>
      </c>
      <c r="X26" s="175">
        <v>28</v>
      </c>
      <c r="Y26" s="174">
        <v>10</v>
      </c>
      <c r="Z26" s="174">
        <v>15</v>
      </c>
      <c r="AA26" s="174">
        <v>10</v>
      </c>
      <c r="AB26" s="174">
        <v>10</v>
      </c>
      <c r="AC26" s="175">
        <v>14</v>
      </c>
      <c r="AD26" s="174">
        <v>10</v>
      </c>
      <c r="AE26" s="174">
        <v>10</v>
      </c>
      <c r="AF26" s="175">
        <v>10</v>
      </c>
      <c r="AG26" s="175">
        <v>30</v>
      </c>
      <c r="AH26" s="175">
        <f>'TO '!AH26</f>
        <v>110</v>
      </c>
      <c r="AI26" s="761">
        <f>'TO '!AI26</f>
        <v>110</v>
      </c>
      <c r="AJ26" s="175"/>
      <c r="AK26" s="679"/>
      <c r="AL26" s="761">
        <v>300</v>
      </c>
      <c r="AM26" s="761"/>
      <c r="AN26" s="257">
        <f>(AL26-AI26)/AI26</f>
        <v>1.7272727272727273</v>
      </c>
    </row>
    <row r="27" spans="1:43" ht="18" x14ac:dyDescent="0.25">
      <c r="A27" s="151" t="s">
        <v>4</v>
      </c>
      <c r="B27" s="442">
        <v>1730</v>
      </c>
      <c r="C27" s="442">
        <v>1496.6</v>
      </c>
      <c r="D27" s="442">
        <v>1785.9</v>
      </c>
      <c r="E27" s="442">
        <v>1963.9</v>
      </c>
      <c r="F27" s="442">
        <v>2015</v>
      </c>
      <c r="G27" s="442">
        <v>2046.626</v>
      </c>
      <c r="H27" s="442">
        <v>2068</v>
      </c>
      <c r="I27" s="442">
        <v>2483.7649999999999</v>
      </c>
      <c r="J27" s="442">
        <v>2475.3910000000005</v>
      </c>
      <c r="K27" s="442">
        <v>2298.1840000000002</v>
      </c>
      <c r="L27" s="496">
        <v>2203.4690000000001</v>
      </c>
      <c r="M27" s="723">
        <v>2174</v>
      </c>
      <c r="N27" s="726">
        <v>1876</v>
      </c>
      <c r="O27" s="726">
        <v>1844</v>
      </c>
      <c r="P27" s="726">
        <v>1795</v>
      </c>
      <c r="Q27" s="726">
        <v>1875</v>
      </c>
      <c r="R27" s="726">
        <v>1814</v>
      </c>
      <c r="S27" s="726">
        <v>2111.712</v>
      </c>
      <c r="T27" s="726">
        <v>2336.58</v>
      </c>
      <c r="U27" s="726">
        <v>2122</v>
      </c>
      <c r="V27" s="726">
        <v>2122</v>
      </c>
      <c r="W27" s="726">
        <v>2111</v>
      </c>
      <c r="X27" s="726">
        <v>2170</v>
      </c>
      <c r="Y27" s="726">
        <v>1934.24</v>
      </c>
      <c r="Z27" s="726">
        <v>1897.52</v>
      </c>
      <c r="AA27" s="726">
        <v>1887</v>
      </c>
      <c r="AB27" s="726">
        <v>1931</v>
      </c>
      <c r="AC27" s="726">
        <v>1917</v>
      </c>
      <c r="AD27" s="726">
        <v>1966.616</v>
      </c>
      <c r="AE27" s="726">
        <v>1816.0360000000001</v>
      </c>
      <c r="AF27" s="726">
        <f>AF20+AF21+AF24</f>
        <v>1619</v>
      </c>
      <c r="AG27" s="758">
        <f>AG20+AG21+AG24</f>
        <v>1495</v>
      </c>
      <c r="AH27" s="758">
        <f>AH20+AH21+AH24</f>
        <v>1516</v>
      </c>
      <c r="AI27" s="758">
        <f>AI20+AI21+AI24</f>
        <v>1420.645</v>
      </c>
      <c r="AJ27" s="758"/>
      <c r="AK27" s="758"/>
      <c r="AL27" s="758">
        <f>AL20+AL21+AL24</f>
        <v>1684.7849452006019</v>
      </c>
      <c r="AM27" s="758"/>
      <c r="AN27" s="459">
        <f>(AL27-AI27)/AI27</f>
        <v>0.18592959198153086</v>
      </c>
      <c r="AQ27" s="10"/>
    </row>
    <row r="28" spans="1:43" ht="15" customHeight="1" x14ac:dyDescent="0.25">
      <c r="A28" s="268"/>
      <c r="B28" s="443"/>
      <c r="C28" s="443"/>
      <c r="D28" s="444"/>
      <c r="E28" s="445"/>
      <c r="F28" s="446"/>
      <c r="G28" s="446"/>
      <c r="H28" s="446"/>
      <c r="I28" s="446"/>
      <c r="J28" s="446"/>
      <c r="K28" s="446"/>
      <c r="L28" s="497"/>
      <c r="M28" s="514"/>
      <c r="N28" s="447"/>
      <c r="O28" s="447"/>
      <c r="P28" s="447"/>
      <c r="Q28" s="447"/>
      <c r="R28" s="447"/>
      <c r="S28" s="447"/>
      <c r="T28" s="447"/>
      <c r="U28" s="447"/>
      <c r="V28" s="447"/>
      <c r="W28" s="446"/>
      <c r="X28" s="446"/>
      <c r="Y28" s="446"/>
      <c r="Z28" s="446"/>
      <c r="AA28" s="446"/>
      <c r="AB28" s="446"/>
      <c r="AC28" s="446"/>
      <c r="AD28" s="446"/>
      <c r="AE28" s="448"/>
      <c r="AF28" s="448"/>
      <c r="AG28" s="773"/>
      <c r="AH28" s="773"/>
      <c r="AI28" s="773"/>
      <c r="AJ28" s="929"/>
      <c r="AK28" s="929"/>
      <c r="AL28" s="929"/>
      <c r="AM28" s="929"/>
      <c r="AN28" s="480"/>
    </row>
    <row r="29" spans="1:43" ht="18" x14ac:dyDescent="0.25">
      <c r="A29" s="253" t="s">
        <v>5</v>
      </c>
      <c r="B29" s="449"/>
      <c r="C29" s="449"/>
      <c r="D29" s="450"/>
      <c r="E29" s="451"/>
      <c r="F29" s="452"/>
      <c r="G29" s="452"/>
      <c r="H29" s="452"/>
      <c r="I29" s="452"/>
      <c r="J29" s="452"/>
      <c r="K29" s="452"/>
      <c r="L29" s="498"/>
      <c r="M29" s="515"/>
      <c r="N29" s="452"/>
      <c r="O29" s="452"/>
      <c r="P29" s="452"/>
      <c r="Q29" s="452"/>
      <c r="R29" s="452"/>
      <c r="S29" s="452"/>
      <c r="T29" s="452"/>
      <c r="U29" s="452"/>
      <c r="V29" s="452"/>
      <c r="W29" s="452"/>
      <c r="X29" s="452"/>
      <c r="Y29" s="452"/>
      <c r="Z29" s="452"/>
      <c r="AA29" s="452"/>
      <c r="AB29" s="453"/>
      <c r="AC29" s="453"/>
      <c r="AD29" s="453"/>
      <c r="AE29" s="453"/>
      <c r="AF29" s="453"/>
      <c r="AG29" s="774"/>
      <c r="AH29" s="774"/>
      <c r="AI29" s="774"/>
      <c r="AJ29" s="774"/>
      <c r="AK29" s="774"/>
      <c r="AL29" s="774"/>
      <c r="AM29" s="774"/>
      <c r="AN29" s="479"/>
    </row>
    <row r="30" spans="1:43" s="4" customFormat="1" ht="18" x14ac:dyDescent="0.25">
      <c r="A30" s="271"/>
      <c r="B30" s="443"/>
      <c r="C30" s="443"/>
      <c r="D30" s="444"/>
      <c r="E30" s="443"/>
      <c r="F30" s="447"/>
      <c r="G30" s="447"/>
      <c r="H30" s="447"/>
      <c r="I30" s="447"/>
      <c r="J30" s="447"/>
      <c r="K30" s="447"/>
      <c r="L30" s="499"/>
      <c r="M30" s="516"/>
      <c r="N30" s="447"/>
      <c r="O30" s="447"/>
      <c r="P30" s="447"/>
      <c r="Q30" s="447"/>
      <c r="R30" s="447"/>
      <c r="S30" s="447"/>
      <c r="T30" s="447"/>
      <c r="U30" s="447"/>
      <c r="V30" s="447"/>
      <c r="W30" s="447"/>
      <c r="X30" s="447"/>
      <c r="Y30" s="447"/>
      <c r="Z30" s="447"/>
      <c r="AA30" s="447"/>
      <c r="AB30" s="454"/>
      <c r="AC30" s="454"/>
      <c r="AD30" s="454"/>
      <c r="AE30" s="454"/>
      <c r="AF30" s="454"/>
      <c r="AG30" s="775"/>
      <c r="AH30" s="775"/>
      <c r="AI30" s="775"/>
      <c r="AJ30" s="775"/>
      <c r="AK30" s="775"/>
      <c r="AL30" s="775"/>
      <c r="AM30" s="775"/>
      <c r="AN30" s="480"/>
    </row>
    <row r="31" spans="1:43" ht="15" x14ac:dyDescent="0.25">
      <c r="A31" s="455" t="s">
        <v>73</v>
      </c>
      <c r="B31" s="456">
        <v>1053</v>
      </c>
      <c r="C31" s="456">
        <v>1027.2</v>
      </c>
      <c r="D31" s="456">
        <v>1263</v>
      </c>
      <c r="E31" s="456">
        <v>1374.2739999999999</v>
      </c>
      <c r="F31" s="456">
        <v>1436</v>
      </c>
      <c r="G31" s="456">
        <v>1416</v>
      </c>
      <c r="H31" s="456">
        <v>1434.5309999999999</v>
      </c>
      <c r="I31" s="456">
        <v>1818.1476500000001</v>
      </c>
      <c r="J31" s="456">
        <v>1818.1476500000001</v>
      </c>
      <c r="K31" s="456">
        <v>1692.9971499999999</v>
      </c>
      <c r="L31" s="500">
        <v>1597</v>
      </c>
      <c r="M31" s="732">
        <v>1540</v>
      </c>
      <c r="N31" s="456">
        <v>1290</v>
      </c>
      <c r="O31" s="456">
        <v>1157</v>
      </c>
      <c r="P31" s="456">
        <v>1143</v>
      </c>
      <c r="Q31" s="456">
        <v>1123</v>
      </c>
      <c r="R31" s="734">
        <v>1148.42</v>
      </c>
      <c r="S31" s="456">
        <v>1352</v>
      </c>
      <c r="T31" s="456">
        <v>1551.96</v>
      </c>
      <c r="U31" s="456">
        <v>1498.66</v>
      </c>
      <c r="V31" s="456">
        <v>1568.46</v>
      </c>
      <c r="W31" s="456">
        <v>1568.04</v>
      </c>
      <c r="X31" s="734">
        <v>1580.12</v>
      </c>
      <c r="Y31" s="456">
        <v>1397.8255999999999</v>
      </c>
      <c r="Z31" s="456">
        <v>1298.5999999999999</v>
      </c>
      <c r="AA31" s="456">
        <v>1338.58</v>
      </c>
      <c r="AB31" s="457">
        <v>1359.88</v>
      </c>
      <c r="AC31" s="733">
        <v>1341</v>
      </c>
      <c r="AD31" s="457">
        <v>1447.3571199999999</v>
      </c>
      <c r="AE31" s="457">
        <v>1306.28072</v>
      </c>
      <c r="AF31" s="733">
        <v>1184</v>
      </c>
      <c r="AG31" s="776">
        <f>AG32+AG33+AG34+AG35+AG36</f>
        <v>1152.8800000000001</v>
      </c>
      <c r="AH31" s="776">
        <f>AH32+AH33+AH34+AH35+AH36</f>
        <v>1099.9000000000001</v>
      </c>
      <c r="AI31" s="776">
        <f>AI32+AI33+AI34+AI35+AI36</f>
        <v>1149.76</v>
      </c>
      <c r="AJ31" s="776">
        <f>AJ32+AJ33+AJ34+AJ35+AJ36</f>
        <v>0</v>
      </c>
      <c r="AK31" s="776"/>
      <c r="AL31" s="776">
        <f>AL32+AL33+AL34+AL35+AL36</f>
        <v>1351.015698904012</v>
      </c>
      <c r="AM31" s="776"/>
      <c r="AN31" s="478">
        <f t="shared" ref="AN31:AN36" si="1">(AL31-AI31)/AI31</f>
        <v>0.17504148596577718</v>
      </c>
    </row>
    <row r="32" spans="1:43" ht="16.5" x14ac:dyDescent="0.2">
      <c r="A32" s="259" t="s">
        <v>181</v>
      </c>
      <c r="B32" s="222">
        <v>1015</v>
      </c>
      <c r="C32" s="222">
        <v>1022.5</v>
      </c>
      <c r="D32" s="222">
        <v>1234</v>
      </c>
      <c r="E32" s="458">
        <v>1345</v>
      </c>
      <c r="F32" s="222">
        <v>1400</v>
      </c>
      <c r="G32" s="222">
        <v>1380</v>
      </c>
      <c r="H32" s="222">
        <v>1399</v>
      </c>
      <c r="I32" s="222">
        <v>1780</v>
      </c>
      <c r="J32" s="222">
        <v>1780</v>
      </c>
      <c r="K32" s="222">
        <v>1650</v>
      </c>
      <c r="L32" s="501">
        <v>1555</v>
      </c>
      <c r="M32" s="509">
        <v>1500</v>
      </c>
      <c r="N32" s="222">
        <v>1250</v>
      </c>
      <c r="O32" s="222">
        <v>1120</v>
      </c>
      <c r="P32" s="222">
        <v>1100</v>
      </c>
      <c r="Q32" s="222">
        <v>1080</v>
      </c>
      <c r="R32" s="432">
        <v>1102</v>
      </c>
      <c r="S32" s="222">
        <v>1300</v>
      </c>
      <c r="T32" s="222">
        <v>1500</v>
      </c>
      <c r="U32" s="222">
        <v>1450</v>
      </c>
      <c r="V32" s="222">
        <v>1520</v>
      </c>
      <c r="W32" s="222">
        <v>1520</v>
      </c>
      <c r="X32" s="432">
        <v>1530</v>
      </c>
      <c r="Y32" s="222">
        <v>1350</v>
      </c>
      <c r="Z32" s="222">
        <v>1250</v>
      </c>
      <c r="AA32" s="222">
        <v>1280</v>
      </c>
      <c r="AB32" s="222">
        <v>1300</v>
      </c>
      <c r="AC32" s="432">
        <v>1283</v>
      </c>
      <c r="AD32" s="222">
        <v>1400</v>
      </c>
      <c r="AE32" s="222">
        <v>1250</v>
      </c>
      <c r="AF32" s="432">
        <v>1130</v>
      </c>
      <c r="AG32" s="175">
        <v>1100</v>
      </c>
      <c r="AH32" s="175">
        <f>'TO '!AH32</f>
        <v>1050</v>
      </c>
      <c r="AI32" s="764">
        <f>'TO '!AI32</f>
        <v>1100</v>
      </c>
      <c r="AJ32" s="175"/>
      <c r="AK32" s="679"/>
      <c r="AL32" s="858">
        <v>1300</v>
      </c>
      <c r="AM32" s="858"/>
      <c r="AN32" s="257">
        <f t="shared" si="1"/>
        <v>0.18181818181818182</v>
      </c>
    </row>
    <row r="33" spans="1:40" ht="14.25" x14ac:dyDescent="0.2">
      <c r="A33" s="259" t="s">
        <v>6</v>
      </c>
      <c r="B33" s="222">
        <v>22</v>
      </c>
      <c r="C33" s="222">
        <v>3.7</v>
      </c>
      <c r="D33" s="222">
        <v>8</v>
      </c>
      <c r="E33" s="222">
        <v>11.273999999999999</v>
      </c>
      <c r="F33" s="222">
        <v>10</v>
      </c>
      <c r="G33" s="222">
        <v>10</v>
      </c>
      <c r="H33" s="222">
        <v>9.5310000000000006</v>
      </c>
      <c r="I33" s="222">
        <v>10</v>
      </c>
      <c r="J33" s="222">
        <v>10</v>
      </c>
      <c r="K33" s="222">
        <v>15</v>
      </c>
      <c r="L33" s="501">
        <v>15</v>
      </c>
      <c r="M33" s="509">
        <v>13</v>
      </c>
      <c r="N33" s="222">
        <v>13</v>
      </c>
      <c r="O33" s="222">
        <v>12</v>
      </c>
      <c r="P33" s="222">
        <v>8</v>
      </c>
      <c r="Q33" s="222">
        <v>8</v>
      </c>
      <c r="R33" s="432">
        <v>7</v>
      </c>
      <c r="S33" s="222">
        <v>10</v>
      </c>
      <c r="T33" s="222">
        <v>10</v>
      </c>
      <c r="U33" s="222">
        <v>10</v>
      </c>
      <c r="V33" s="222">
        <v>10</v>
      </c>
      <c r="W33" s="222">
        <v>10</v>
      </c>
      <c r="X33" s="432">
        <v>12</v>
      </c>
      <c r="Y33" s="222">
        <v>10</v>
      </c>
      <c r="Z33" s="222">
        <v>10</v>
      </c>
      <c r="AA33" s="222">
        <v>10</v>
      </c>
      <c r="AB33" s="222">
        <v>10</v>
      </c>
      <c r="AC33" s="432">
        <v>8</v>
      </c>
      <c r="AD33" s="222">
        <v>10</v>
      </c>
      <c r="AE33" s="222">
        <v>10</v>
      </c>
      <c r="AF33" s="432">
        <v>10</v>
      </c>
      <c r="AG33" s="175">
        <v>10</v>
      </c>
      <c r="AH33" s="175">
        <f>'TO '!AH33</f>
        <v>7</v>
      </c>
      <c r="AI33" s="764">
        <f>'TO '!AI33</f>
        <v>7</v>
      </c>
      <c r="AJ33" s="175"/>
      <c r="AK33" s="679"/>
      <c r="AL33" s="858">
        <v>7</v>
      </c>
      <c r="AM33" s="858"/>
      <c r="AN33" s="257">
        <f t="shared" si="1"/>
        <v>0</v>
      </c>
    </row>
    <row r="34" spans="1:40" ht="14.25" x14ac:dyDescent="0.2">
      <c r="A34" s="259" t="s">
        <v>37</v>
      </c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501"/>
      <c r="M34" s="509"/>
      <c r="N34" s="222"/>
      <c r="O34" s="222"/>
      <c r="P34" s="222"/>
      <c r="Q34" s="222"/>
      <c r="R34" s="432"/>
      <c r="S34" s="222"/>
      <c r="T34" s="222"/>
      <c r="U34" s="222"/>
      <c r="V34" s="222"/>
      <c r="W34" s="222"/>
      <c r="X34" s="432"/>
      <c r="Y34" s="222"/>
      <c r="Z34" s="222"/>
      <c r="AA34" s="222">
        <v>10</v>
      </c>
      <c r="AB34" s="222">
        <v>10</v>
      </c>
      <c r="AC34" s="432">
        <v>10</v>
      </c>
      <c r="AD34" s="222">
        <v>10</v>
      </c>
      <c r="AE34" s="222">
        <v>10</v>
      </c>
      <c r="AF34" s="432">
        <v>10</v>
      </c>
      <c r="AG34" s="175">
        <v>10</v>
      </c>
      <c r="AH34" s="175">
        <f>'TO '!AH34</f>
        <v>10</v>
      </c>
      <c r="AI34" s="764">
        <f>'TO '!AI34</f>
        <v>10</v>
      </c>
      <c r="AJ34" s="175"/>
      <c r="AK34" s="679"/>
      <c r="AL34" s="858">
        <v>10</v>
      </c>
      <c r="AM34" s="858"/>
      <c r="AN34" s="257">
        <f t="shared" si="1"/>
        <v>0</v>
      </c>
    </row>
    <row r="35" spans="1:40" ht="14.25" x14ac:dyDescent="0.2">
      <c r="A35" s="259" t="s">
        <v>7</v>
      </c>
      <c r="B35" s="222">
        <v>3</v>
      </c>
      <c r="C35" s="222">
        <v>1</v>
      </c>
      <c r="D35" s="222">
        <v>7</v>
      </c>
      <c r="E35" s="222">
        <v>10</v>
      </c>
      <c r="F35" s="222">
        <v>11</v>
      </c>
      <c r="G35" s="222">
        <v>11</v>
      </c>
      <c r="H35" s="222">
        <v>11</v>
      </c>
      <c r="I35" s="222">
        <v>11</v>
      </c>
      <c r="J35" s="222">
        <v>11</v>
      </c>
      <c r="K35" s="222">
        <v>11</v>
      </c>
      <c r="L35" s="501">
        <v>10</v>
      </c>
      <c r="M35" s="509">
        <v>10</v>
      </c>
      <c r="N35" s="222">
        <v>10</v>
      </c>
      <c r="O35" s="222">
        <v>10</v>
      </c>
      <c r="P35" s="222">
        <v>10</v>
      </c>
      <c r="Q35" s="222">
        <v>10</v>
      </c>
      <c r="R35" s="432">
        <v>10</v>
      </c>
      <c r="S35" s="222">
        <v>10</v>
      </c>
      <c r="T35" s="222">
        <v>10</v>
      </c>
      <c r="U35" s="222">
        <v>10</v>
      </c>
      <c r="V35" s="222">
        <v>10</v>
      </c>
      <c r="W35" s="222">
        <v>10</v>
      </c>
      <c r="X35" s="432">
        <v>10</v>
      </c>
      <c r="Y35" s="222">
        <v>10</v>
      </c>
      <c r="Z35" s="222">
        <v>10</v>
      </c>
      <c r="AA35" s="222">
        <v>10</v>
      </c>
      <c r="AB35" s="222">
        <v>10</v>
      </c>
      <c r="AC35" s="432">
        <v>10</v>
      </c>
      <c r="AD35" s="222">
        <v>10</v>
      </c>
      <c r="AE35" s="222">
        <v>10</v>
      </c>
      <c r="AF35" s="432">
        <v>10</v>
      </c>
      <c r="AG35" s="175">
        <v>10</v>
      </c>
      <c r="AH35" s="175">
        <f>'TO '!AH35</f>
        <v>10</v>
      </c>
      <c r="AI35" s="764">
        <f>'TO '!AI35</f>
        <v>10</v>
      </c>
      <c r="AJ35" s="175"/>
      <c r="AK35" s="679"/>
      <c r="AL35" s="858">
        <v>10</v>
      </c>
      <c r="AM35" s="858"/>
      <c r="AN35" s="257">
        <f t="shared" si="1"/>
        <v>0</v>
      </c>
    </row>
    <row r="36" spans="1:40" ht="14.25" x14ac:dyDescent="0.2">
      <c r="A36" s="259" t="s">
        <v>8</v>
      </c>
      <c r="B36" s="222">
        <v>13</v>
      </c>
      <c r="C36" s="222">
        <v>0</v>
      </c>
      <c r="D36" s="222">
        <v>14</v>
      </c>
      <c r="E36" s="222">
        <v>8</v>
      </c>
      <c r="F36" s="222">
        <v>15</v>
      </c>
      <c r="G36" s="222">
        <v>15</v>
      </c>
      <c r="H36" s="222">
        <v>15</v>
      </c>
      <c r="I36" s="222">
        <v>17.147650000000002</v>
      </c>
      <c r="J36" s="222">
        <v>17.147650000000002</v>
      </c>
      <c r="K36" s="222">
        <v>16.997149999999998</v>
      </c>
      <c r="L36" s="501">
        <v>17</v>
      </c>
      <c r="M36" s="509">
        <v>17</v>
      </c>
      <c r="N36" s="222">
        <v>17</v>
      </c>
      <c r="O36" s="222">
        <v>15</v>
      </c>
      <c r="P36" s="222">
        <v>25</v>
      </c>
      <c r="Q36" s="222">
        <v>25</v>
      </c>
      <c r="R36" s="432">
        <v>29.42</v>
      </c>
      <c r="S36" s="222">
        <v>32.634239999999998</v>
      </c>
      <c r="T36" s="222">
        <v>31.96</v>
      </c>
      <c r="U36" s="222">
        <v>28.66</v>
      </c>
      <c r="V36" s="222">
        <v>28.46</v>
      </c>
      <c r="W36" s="222">
        <v>28.04</v>
      </c>
      <c r="X36" s="432">
        <v>28.12</v>
      </c>
      <c r="Y36" s="222">
        <v>27.825600000000005</v>
      </c>
      <c r="Z36" s="222">
        <v>28.6</v>
      </c>
      <c r="AA36" s="222">
        <v>28.58</v>
      </c>
      <c r="AB36" s="222">
        <v>29.88</v>
      </c>
      <c r="AC36" s="432">
        <v>29.64</v>
      </c>
      <c r="AD36" s="178">
        <v>27.357120000000002</v>
      </c>
      <c r="AE36" s="178">
        <v>26.280720000000002</v>
      </c>
      <c r="AF36" s="176">
        <v>24</v>
      </c>
      <c r="AG36" s="175">
        <f>AG21*0.02</f>
        <v>22.88</v>
      </c>
      <c r="AH36" s="175">
        <f>'TO '!AH36</f>
        <v>22.900000000000002</v>
      </c>
      <c r="AI36" s="764">
        <f>'TO '!AI36</f>
        <v>22.76</v>
      </c>
      <c r="AJ36" s="175">
        <f>AJ21*0.02</f>
        <v>0</v>
      </c>
      <c r="AK36" s="679"/>
      <c r="AL36" s="878">
        <f>AL21*0.02</f>
        <v>24.015698904012037</v>
      </c>
      <c r="AM36" s="878"/>
      <c r="AN36" s="257">
        <f t="shared" si="1"/>
        <v>5.5171305097189614E-2</v>
      </c>
    </row>
    <row r="37" spans="1:40" ht="14.25" x14ac:dyDescent="0.2">
      <c r="A37" s="259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501"/>
      <c r="M37" s="509"/>
      <c r="N37" s="222"/>
      <c r="O37" s="222"/>
      <c r="P37" s="222"/>
      <c r="Q37" s="222"/>
      <c r="R37" s="432"/>
      <c r="S37" s="222"/>
      <c r="T37" s="222"/>
      <c r="U37" s="222"/>
      <c r="V37" s="222"/>
      <c r="W37" s="222"/>
      <c r="X37" s="432"/>
      <c r="Y37" s="222"/>
      <c r="Z37" s="222"/>
      <c r="AA37" s="222"/>
      <c r="AB37" s="222"/>
      <c r="AC37" s="432"/>
      <c r="AD37" s="178"/>
      <c r="AE37" s="178"/>
      <c r="AF37" s="176"/>
      <c r="AG37" s="175"/>
      <c r="AH37" s="175"/>
      <c r="AI37" s="784"/>
      <c r="AJ37" s="175"/>
      <c r="AK37" s="679"/>
      <c r="AL37" s="878"/>
      <c r="AM37" s="878"/>
      <c r="AN37" s="257"/>
    </row>
    <row r="38" spans="1:40" ht="15" x14ac:dyDescent="0.25">
      <c r="A38" s="455" t="s">
        <v>9</v>
      </c>
      <c r="B38" s="456">
        <v>442</v>
      </c>
      <c r="C38" s="456">
        <v>314.5</v>
      </c>
      <c r="D38" s="456">
        <v>333</v>
      </c>
      <c r="E38" s="456">
        <v>352</v>
      </c>
      <c r="F38" s="456">
        <v>340</v>
      </c>
      <c r="G38" s="456">
        <v>400</v>
      </c>
      <c r="H38" s="456">
        <v>425</v>
      </c>
      <c r="I38" s="456">
        <v>408</v>
      </c>
      <c r="J38" s="456">
        <v>408</v>
      </c>
      <c r="K38" s="456">
        <v>388</v>
      </c>
      <c r="L38" s="500">
        <v>398</v>
      </c>
      <c r="M38" s="517">
        <v>428</v>
      </c>
      <c r="N38" s="456">
        <v>400</v>
      </c>
      <c r="O38" s="456">
        <v>480</v>
      </c>
      <c r="P38" s="456">
        <v>455</v>
      </c>
      <c r="Q38" s="456">
        <v>442</v>
      </c>
      <c r="R38" s="651">
        <v>417</v>
      </c>
      <c r="S38" s="456">
        <v>460</v>
      </c>
      <c r="T38" s="456">
        <v>385</v>
      </c>
      <c r="U38" s="456">
        <v>355</v>
      </c>
      <c r="V38" s="456">
        <v>397</v>
      </c>
      <c r="W38" s="456">
        <v>390</v>
      </c>
      <c r="X38" s="651">
        <v>422</v>
      </c>
      <c r="Y38" s="456">
        <v>380</v>
      </c>
      <c r="Z38" s="456">
        <v>400</v>
      </c>
      <c r="AA38" s="456">
        <v>405</v>
      </c>
      <c r="AB38" s="457">
        <v>470</v>
      </c>
      <c r="AC38" s="731">
        <v>475</v>
      </c>
      <c r="AD38" s="457">
        <v>365</v>
      </c>
      <c r="AE38" s="457">
        <v>395</v>
      </c>
      <c r="AF38" s="731">
        <v>370</v>
      </c>
      <c r="AG38" s="777">
        <f>AG39+AG40</f>
        <v>245</v>
      </c>
      <c r="AH38" s="777">
        <f>AH39+AH40</f>
        <v>320</v>
      </c>
      <c r="AI38" s="777">
        <f>AI39+AI40</f>
        <v>325</v>
      </c>
      <c r="AJ38" s="777">
        <f>AJ39+AJ40</f>
        <v>0</v>
      </c>
      <c r="AK38" s="777"/>
      <c r="AL38" s="777">
        <f>AL39+AL40</f>
        <v>300</v>
      </c>
      <c r="AM38" s="777"/>
      <c r="AN38" s="478">
        <f>(AL38-AI38)/AI38</f>
        <v>-7.6923076923076927E-2</v>
      </c>
    </row>
    <row r="39" spans="1:40" ht="14.25" x14ac:dyDescent="0.2">
      <c r="A39" s="148" t="s">
        <v>10</v>
      </c>
      <c r="B39" s="222">
        <v>437</v>
      </c>
      <c r="C39" s="222">
        <v>309</v>
      </c>
      <c r="D39" s="222">
        <v>328</v>
      </c>
      <c r="E39" s="222">
        <v>346</v>
      </c>
      <c r="F39" s="222">
        <v>330</v>
      </c>
      <c r="G39" s="222">
        <v>390</v>
      </c>
      <c r="H39" s="222">
        <v>417</v>
      </c>
      <c r="I39" s="222">
        <v>400</v>
      </c>
      <c r="J39" s="222">
        <v>400</v>
      </c>
      <c r="K39" s="222">
        <v>380</v>
      </c>
      <c r="L39" s="501">
        <v>390</v>
      </c>
      <c r="M39" s="509">
        <v>420</v>
      </c>
      <c r="N39" s="222">
        <v>392</v>
      </c>
      <c r="O39" s="222">
        <v>475</v>
      </c>
      <c r="P39" s="222">
        <v>450</v>
      </c>
      <c r="Q39" s="222">
        <v>430</v>
      </c>
      <c r="R39" s="432">
        <v>407</v>
      </c>
      <c r="S39" s="222">
        <v>450</v>
      </c>
      <c r="T39" s="222">
        <v>375</v>
      </c>
      <c r="U39" s="222">
        <v>345</v>
      </c>
      <c r="V39" s="222">
        <v>390</v>
      </c>
      <c r="W39" s="222">
        <v>380</v>
      </c>
      <c r="X39" s="432">
        <v>413</v>
      </c>
      <c r="Y39" s="222">
        <v>370</v>
      </c>
      <c r="Z39" s="222">
        <v>390</v>
      </c>
      <c r="AA39" s="222">
        <v>400</v>
      </c>
      <c r="AB39" s="222">
        <v>463</v>
      </c>
      <c r="AC39" s="432">
        <v>468</v>
      </c>
      <c r="AD39" s="222">
        <v>360</v>
      </c>
      <c r="AE39" s="222">
        <v>390</v>
      </c>
      <c r="AF39" s="432">
        <v>365</v>
      </c>
      <c r="AG39" s="175">
        <v>240</v>
      </c>
      <c r="AH39" s="175">
        <f>'TO '!AH39</f>
        <v>309</v>
      </c>
      <c r="AI39" s="764">
        <f>'TO '!AI39</f>
        <v>310</v>
      </c>
      <c r="AJ39" s="175"/>
      <c r="AK39" s="679"/>
      <c r="AL39" s="858">
        <v>285</v>
      </c>
      <c r="AM39" s="858"/>
      <c r="AN39" s="257">
        <f>(AL39-AI39)/AI39</f>
        <v>-8.0645161290322578E-2</v>
      </c>
    </row>
    <row r="40" spans="1:40" ht="15" x14ac:dyDescent="0.2">
      <c r="A40" s="148" t="s">
        <v>3</v>
      </c>
      <c r="B40" s="222">
        <v>5</v>
      </c>
      <c r="C40" s="222">
        <v>5.5</v>
      </c>
      <c r="D40" s="222">
        <v>5</v>
      </c>
      <c r="E40" s="222">
        <v>6</v>
      </c>
      <c r="F40" s="222">
        <v>10</v>
      </c>
      <c r="G40" s="222">
        <v>10</v>
      </c>
      <c r="H40" s="222">
        <v>8</v>
      </c>
      <c r="I40" s="222">
        <v>8</v>
      </c>
      <c r="J40" s="222">
        <v>8</v>
      </c>
      <c r="K40" s="222">
        <v>8</v>
      </c>
      <c r="L40" s="501">
        <v>8</v>
      </c>
      <c r="M40" s="509">
        <v>8</v>
      </c>
      <c r="N40" s="222">
        <v>8</v>
      </c>
      <c r="O40" s="222">
        <v>5</v>
      </c>
      <c r="P40" s="222">
        <v>5</v>
      </c>
      <c r="Q40" s="222">
        <v>12</v>
      </c>
      <c r="R40" s="432">
        <v>10</v>
      </c>
      <c r="S40" s="222">
        <v>10</v>
      </c>
      <c r="T40" s="222">
        <v>10</v>
      </c>
      <c r="U40" s="222">
        <v>10</v>
      </c>
      <c r="V40" s="222">
        <v>7</v>
      </c>
      <c r="W40" s="222">
        <v>10</v>
      </c>
      <c r="X40" s="432">
        <v>9</v>
      </c>
      <c r="Y40" s="222">
        <v>10</v>
      </c>
      <c r="Z40" s="222">
        <v>10</v>
      </c>
      <c r="AA40" s="222">
        <v>5</v>
      </c>
      <c r="AB40" s="178">
        <v>7</v>
      </c>
      <c r="AC40" s="432">
        <v>7</v>
      </c>
      <c r="AD40" s="178">
        <v>5</v>
      </c>
      <c r="AE40" s="187">
        <v>5</v>
      </c>
      <c r="AF40" s="176">
        <v>5</v>
      </c>
      <c r="AG40" s="175">
        <v>5</v>
      </c>
      <c r="AH40" s="175">
        <f>'TO '!AH40</f>
        <v>11</v>
      </c>
      <c r="AI40" s="764">
        <f>'TO '!AI40</f>
        <v>15</v>
      </c>
      <c r="AJ40" s="175"/>
      <c r="AK40" s="679"/>
      <c r="AL40" s="878">
        <v>15</v>
      </c>
      <c r="AM40" s="878"/>
      <c r="AN40" s="257">
        <f>(AL40-AI40)/AI40</f>
        <v>0</v>
      </c>
    </row>
    <row r="41" spans="1:40" ht="18" x14ac:dyDescent="0.25">
      <c r="A41" s="151" t="s">
        <v>74</v>
      </c>
      <c r="B41" s="442">
        <v>1495</v>
      </c>
      <c r="C41" s="442">
        <v>1341.7</v>
      </c>
      <c r="D41" s="442">
        <v>1596</v>
      </c>
      <c r="E41" s="442">
        <v>1726.2739999999999</v>
      </c>
      <c r="F41" s="442">
        <v>1776</v>
      </c>
      <c r="G41" s="442">
        <v>1816</v>
      </c>
      <c r="H41" s="442">
        <v>1859.5309999999999</v>
      </c>
      <c r="I41" s="442">
        <v>2226.1476499999999</v>
      </c>
      <c r="J41" s="442">
        <v>2226.1476499999999</v>
      </c>
      <c r="K41" s="442">
        <v>2080.9971500000001</v>
      </c>
      <c r="L41" s="496">
        <v>1995</v>
      </c>
      <c r="M41" s="725">
        <v>1968</v>
      </c>
      <c r="N41" s="726">
        <v>1690</v>
      </c>
      <c r="O41" s="726">
        <v>1637</v>
      </c>
      <c r="P41" s="726">
        <v>1598</v>
      </c>
      <c r="Q41" s="726">
        <v>1565</v>
      </c>
      <c r="R41" s="726">
        <v>1565.42</v>
      </c>
      <c r="S41" s="726">
        <v>1812</v>
      </c>
      <c r="T41" s="726">
        <v>1936.96</v>
      </c>
      <c r="U41" s="726">
        <v>1853.66</v>
      </c>
      <c r="V41" s="726">
        <v>1965.46</v>
      </c>
      <c r="W41" s="726">
        <v>1958.04</v>
      </c>
      <c r="X41" s="726">
        <v>2002.12</v>
      </c>
      <c r="Y41" s="726">
        <v>1777.8255999999999</v>
      </c>
      <c r="Z41" s="726">
        <v>1698.6</v>
      </c>
      <c r="AA41" s="726">
        <v>1743.58</v>
      </c>
      <c r="AB41" s="726">
        <v>1829.88</v>
      </c>
      <c r="AC41" s="726">
        <v>1826.64</v>
      </c>
      <c r="AD41" s="726">
        <v>1812.3571199999999</v>
      </c>
      <c r="AE41" s="726">
        <v>1701.28072</v>
      </c>
      <c r="AF41" s="726">
        <v>1554</v>
      </c>
      <c r="AG41" s="758">
        <f>AG31+AG38</f>
        <v>1397.88</v>
      </c>
      <c r="AH41" s="758">
        <f>AH31+AH38</f>
        <v>1419.9</v>
      </c>
      <c r="AI41" s="758">
        <f>AI31+AI38</f>
        <v>1474.76</v>
      </c>
      <c r="AJ41" s="758">
        <f>AJ31+AJ38</f>
        <v>0</v>
      </c>
      <c r="AK41" s="758"/>
      <c r="AL41" s="758">
        <f>AL31+AL38</f>
        <v>1651.015698904012</v>
      </c>
      <c r="AM41" s="758"/>
      <c r="AN41" s="459">
        <f>(AL41-AI41)/AI41</f>
        <v>0.11951483556918548</v>
      </c>
    </row>
    <row r="42" spans="1:40" ht="15" x14ac:dyDescent="0.25">
      <c r="A42" s="152"/>
      <c r="B42" s="187"/>
      <c r="C42" s="187"/>
      <c r="D42" s="187"/>
      <c r="E42" s="187"/>
      <c r="F42" s="187"/>
      <c r="G42" s="187"/>
      <c r="H42" s="187"/>
      <c r="I42" s="187"/>
      <c r="J42" s="187"/>
      <c r="K42" s="187"/>
      <c r="L42" s="487"/>
      <c r="M42" s="50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7"/>
      <c r="AC42" s="187"/>
      <c r="AD42" s="187"/>
      <c r="AE42" s="460"/>
      <c r="AF42" s="460"/>
      <c r="AG42" s="869"/>
      <c r="AH42" s="869"/>
      <c r="AI42" s="785"/>
      <c r="AJ42" s="869"/>
      <c r="AK42" s="869"/>
      <c r="AL42" s="928"/>
      <c r="AM42" s="928"/>
      <c r="AN42" s="475"/>
    </row>
    <row r="43" spans="1:40" ht="21" x14ac:dyDescent="0.25">
      <c r="A43" s="151" t="s">
        <v>182</v>
      </c>
      <c r="B43" s="239">
        <v>235</v>
      </c>
      <c r="C43" s="239">
        <v>154.9</v>
      </c>
      <c r="D43" s="239">
        <v>189.9</v>
      </c>
      <c r="E43" s="239">
        <v>237.62599999999998</v>
      </c>
      <c r="F43" s="239">
        <v>239</v>
      </c>
      <c r="G43" s="239">
        <v>230.62599999999998</v>
      </c>
      <c r="H43" s="239">
        <v>208.46900000000005</v>
      </c>
      <c r="I43" s="239">
        <v>257.61735000000044</v>
      </c>
      <c r="J43" s="239">
        <v>249.24335000000065</v>
      </c>
      <c r="K43" s="239">
        <v>217.18685000000005</v>
      </c>
      <c r="L43" s="376">
        <v>208.46900000000005</v>
      </c>
      <c r="M43" s="518">
        <v>206</v>
      </c>
      <c r="N43" s="442">
        <v>186</v>
      </c>
      <c r="O43" s="442">
        <v>207</v>
      </c>
      <c r="P43" s="442">
        <v>197</v>
      </c>
      <c r="Q43" s="442">
        <v>310</v>
      </c>
      <c r="R43" s="442">
        <v>248.58</v>
      </c>
      <c r="S43" s="442">
        <v>299.71199999999999</v>
      </c>
      <c r="T43" s="442">
        <v>399.62</v>
      </c>
      <c r="U43" s="442">
        <v>268.33999999999997</v>
      </c>
      <c r="V43" s="442">
        <v>156.54</v>
      </c>
      <c r="W43" s="442">
        <v>152.96</v>
      </c>
      <c r="X43" s="442">
        <v>167.88</v>
      </c>
      <c r="Y43" s="442">
        <v>156.41440000000034</v>
      </c>
      <c r="Z43" s="442">
        <v>198.92</v>
      </c>
      <c r="AA43" s="442">
        <v>143.41999999999999</v>
      </c>
      <c r="AB43" s="442">
        <v>101.12</v>
      </c>
      <c r="AC43" s="442">
        <v>101</v>
      </c>
      <c r="AD43" s="442">
        <v>154.25888000000009</v>
      </c>
      <c r="AE43" s="442">
        <v>114.75528000000008</v>
      </c>
      <c r="AF43" s="442">
        <f t="shared" ref="AF43:AL43" si="2">AF27-AF41</f>
        <v>65</v>
      </c>
      <c r="AG43" s="496">
        <f t="shared" si="2"/>
        <v>97.119999999999891</v>
      </c>
      <c r="AH43" s="496">
        <f t="shared" si="2"/>
        <v>96.099999999999909</v>
      </c>
      <c r="AI43" s="496">
        <f t="shared" si="2"/>
        <v>-54.115000000000009</v>
      </c>
      <c r="AJ43" s="496">
        <f t="shared" si="2"/>
        <v>0</v>
      </c>
      <c r="AK43" s="496"/>
      <c r="AL43" s="496">
        <f t="shared" si="2"/>
        <v>33.769246296589927</v>
      </c>
      <c r="AM43" s="496"/>
      <c r="AN43" s="459">
        <f>(AL43-AI43)/AI43</f>
        <v>-1.6240274655195404</v>
      </c>
    </row>
    <row r="44" spans="1:40" ht="15" x14ac:dyDescent="0.25">
      <c r="A44" s="259" t="s">
        <v>11</v>
      </c>
      <c r="B44" s="187"/>
      <c r="C44" s="187"/>
      <c r="D44" s="187"/>
      <c r="E44" s="178">
        <v>189.5</v>
      </c>
      <c r="F44" s="187"/>
      <c r="G44" s="187"/>
      <c r="H44" s="178">
        <v>125.349</v>
      </c>
      <c r="I44" s="187"/>
      <c r="J44" s="187"/>
      <c r="K44" s="187"/>
      <c r="L44" s="487">
        <v>89</v>
      </c>
      <c r="M44" s="735">
        <v>89</v>
      </c>
      <c r="N44" s="736"/>
      <c r="O44" s="736"/>
      <c r="P44" s="736"/>
      <c r="Q44" s="736"/>
      <c r="R44" s="736">
        <v>154</v>
      </c>
      <c r="S44" s="736"/>
      <c r="T44" s="736"/>
      <c r="U44" s="736"/>
      <c r="V44" s="736"/>
      <c r="W44" s="736">
        <v>129</v>
      </c>
      <c r="X44" s="736">
        <v>129</v>
      </c>
      <c r="Y44" s="737"/>
      <c r="Z44" s="737"/>
      <c r="AA44" s="737"/>
      <c r="AB44" s="737"/>
      <c r="AC44" s="736">
        <v>80</v>
      </c>
      <c r="AD44" s="462"/>
      <c r="AE44" s="462"/>
      <c r="AF44" s="462"/>
      <c r="AG44" s="175"/>
      <c r="AH44" s="175"/>
      <c r="AI44" s="786"/>
      <c r="AJ44" s="175"/>
      <c r="AK44" s="679"/>
      <c r="AL44" s="879"/>
      <c r="AM44" s="879"/>
      <c r="AN44" s="475"/>
    </row>
    <row r="45" spans="1:40" ht="15" x14ac:dyDescent="0.25">
      <c r="A45" s="259" t="s">
        <v>12</v>
      </c>
      <c r="B45" s="187"/>
      <c r="C45" s="187"/>
      <c r="D45" s="187"/>
      <c r="E45" s="187"/>
      <c r="F45" s="187"/>
      <c r="G45" s="187"/>
      <c r="H45" s="178">
        <v>48</v>
      </c>
      <c r="I45" s="187"/>
      <c r="J45" s="187"/>
      <c r="K45" s="187"/>
      <c r="L45" s="487">
        <v>1</v>
      </c>
      <c r="M45" s="519">
        <v>1</v>
      </c>
      <c r="N45" s="461"/>
      <c r="O45" s="461"/>
      <c r="P45" s="461"/>
      <c r="Q45" s="461"/>
      <c r="R45" s="461"/>
      <c r="S45" s="461"/>
      <c r="T45" s="461"/>
      <c r="U45" s="461"/>
      <c r="V45" s="461"/>
      <c r="W45" s="461">
        <v>1</v>
      </c>
      <c r="X45" s="461">
        <v>1</v>
      </c>
      <c r="Y45" s="187"/>
      <c r="Z45" s="187"/>
      <c r="AA45" s="187"/>
      <c r="AB45" s="187"/>
      <c r="AC45" s="178"/>
      <c r="AD45" s="187"/>
      <c r="AE45" s="187"/>
      <c r="AF45" s="187"/>
      <c r="AG45" s="175"/>
      <c r="AH45" s="175"/>
      <c r="AI45" s="778"/>
      <c r="AJ45" s="175"/>
      <c r="AK45" s="679"/>
      <c r="AL45" s="872"/>
      <c r="AM45" s="872"/>
      <c r="AN45" s="475"/>
    </row>
    <row r="46" spans="1:40" ht="15" x14ac:dyDescent="0.25">
      <c r="A46" s="259" t="s">
        <v>13</v>
      </c>
      <c r="B46" s="463"/>
      <c r="C46" s="463"/>
      <c r="D46" s="463"/>
      <c r="E46" s="463"/>
      <c r="F46" s="463"/>
      <c r="G46" s="463"/>
      <c r="H46" s="178">
        <v>35</v>
      </c>
      <c r="I46" s="463"/>
      <c r="J46" s="463"/>
      <c r="K46" s="463"/>
      <c r="L46" s="464"/>
      <c r="M46" s="613"/>
      <c r="N46" s="614"/>
      <c r="O46" s="614"/>
      <c r="P46" s="614"/>
      <c r="Q46" s="614"/>
      <c r="R46" s="614"/>
      <c r="S46" s="614"/>
      <c r="T46" s="614"/>
      <c r="U46" s="614"/>
      <c r="V46" s="614"/>
      <c r="W46" s="614"/>
      <c r="X46" s="614"/>
      <c r="Y46" s="614"/>
      <c r="Z46" s="614"/>
      <c r="AA46" s="614"/>
      <c r="AB46" s="614"/>
      <c r="AC46" s="614"/>
      <c r="AD46" s="614"/>
      <c r="AE46" s="614"/>
      <c r="AF46" s="614"/>
      <c r="AG46" s="175"/>
      <c r="AH46" s="175"/>
      <c r="AI46" s="787"/>
      <c r="AJ46" s="175"/>
      <c r="AK46" s="679"/>
      <c r="AL46" s="880"/>
      <c r="AM46" s="880"/>
      <c r="AN46" s="475"/>
    </row>
    <row r="47" spans="1:40" ht="15" x14ac:dyDescent="0.2">
      <c r="A47" s="674" t="s">
        <v>176</v>
      </c>
      <c r="B47" s="481">
        <v>0.15719063545150502</v>
      </c>
      <c r="C47" s="481">
        <v>0.1154505478124766</v>
      </c>
      <c r="D47" s="481">
        <v>0.11898496240601496</v>
      </c>
      <c r="E47" s="481">
        <v>0.13765253951574316</v>
      </c>
      <c r="F47" s="481">
        <v>0.13457207207207209</v>
      </c>
      <c r="G47" s="481">
        <v>0.12699669603524227</v>
      </c>
      <c r="H47" s="481">
        <v>0.11210837571409138</v>
      </c>
      <c r="I47" s="481">
        <v>0.1157233887878014</v>
      </c>
      <c r="J47" s="481"/>
      <c r="K47" s="481">
        <v>0.10436672150175699</v>
      </c>
      <c r="L47" s="502">
        <v>0.10449573934837095</v>
      </c>
      <c r="M47" s="738">
        <v>0.10467479674796748</v>
      </c>
      <c r="N47" s="739">
        <v>0.11005917159763313</v>
      </c>
      <c r="O47" s="739">
        <v>0.12645082467929139</v>
      </c>
      <c r="P47" s="739">
        <v>0.12327909887359199</v>
      </c>
      <c r="Q47" s="739">
        <v>0.19808306709265175</v>
      </c>
      <c r="R47" s="739">
        <v>0.15879444494129366</v>
      </c>
      <c r="S47" s="739">
        <v>0.16540397350993377</v>
      </c>
      <c r="T47" s="739">
        <v>0.2063129852965471</v>
      </c>
      <c r="U47" s="739">
        <v>0.14476225413506247</v>
      </c>
      <c r="V47" s="739">
        <v>7.9645477394604799E-2</v>
      </c>
      <c r="W47" s="739">
        <v>7.8118935261792422E-2</v>
      </c>
      <c r="X47" s="739">
        <v>8.3851117815116033E-2</v>
      </c>
      <c r="Y47" s="739">
        <v>8.798073331827394E-2</v>
      </c>
      <c r="Z47" s="739">
        <v>0.11710820675850706</v>
      </c>
      <c r="AA47" s="739">
        <v>8.2256047901444196E-2</v>
      </c>
      <c r="AB47" s="739">
        <v>5.5260454237436273E-2</v>
      </c>
      <c r="AC47" s="740">
        <v>4.8372968948451743E-2</v>
      </c>
      <c r="AD47" s="740">
        <v>8.5115057235518848E-2</v>
      </c>
      <c r="AE47" s="740">
        <v>6.7452289707956067E-2</v>
      </c>
      <c r="AF47" s="739">
        <v>3.3693693693693627E-2</v>
      </c>
      <c r="AG47" s="870"/>
      <c r="AH47" s="870"/>
      <c r="AI47" s="788"/>
      <c r="AJ47" s="870"/>
      <c r="AK47" s="679"/>
      <c r="AL47" s="881"/>
      <c r="AM47" s="881"/>
      <c r="AN47" s="615"/>
    </row>
    <row r="48" spans="1:40" ht="14.25" x14ac:dyDescent="0.2">
      <c r="A48" s="707" t="s">
        <v>177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</row>
    <row r="49" spans="1:40" ht="14.25" x14ac:dyDescent="0.2">
      <c r="A49" s="709" t="s">
        <v>180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</row>
    <row r="50" spans="1:40" ht="14.25" x14ac:dyDescent="0.2">
      <c r="A50" s="965" t="s">
        <v>209</v>
      </c>
      <c r="B50" s="140">
        <f t="shared" ref="B50:L50" si="3">B20+B21+B23+B24-B31-B38-B43</f>
        <v>0</v>
      </c>
      <c r="C50" s="17">
        <f t="shared" si="3"/>
        <v>0</v>
      </c>
      <c r="D50" s="17">
        <f t="shared" si="3"/>
        <v>0</v>
      </c>
      <c r="E50" s="139">
        <f t="shared" si="3"/>
        <v>2.2737367544323206E-13</v>
      </c>
      <c r="F50" s="17">
        <f t="shared" si="3"/>
        <v>0</v>
      </c>
      <c r="G50" s="17">
        <f t="shared" si="3"/>
        <v>0</v>
      </c>
      <c r="H50" s="17">
        <f t="shared" si="3"/>
        <v>0</v>
      </c>
      <c r="I50" s="17">
        <f t="shared" si="3"/>
        <v>0</v>
      </c>
      <c r="J50" s="139">
        <f t="shared" si="3"/>
        <v>-6.8212102632969618E-13</v>
      </c>
      <c r="K50" s="139">
        <f t="shared" si="3"/>
        <v>2.2737367544323206E-13</v>
      </c>
      <c r="L50" s="17">
        <f t="shared" si="3"/>
        <v>50</v>
      </c>
    </row>
    <row r="52" spans="1:40" ht="14.25" x14ac:dyDescent="0.2">
      <c r="A52" s="749" t="s">
        <v>46</v>
      </c>
      <c r="B52" s="749"/>
      <c r="C52" s="749"/>
      <c r="D52" s="749"/>
      <c r="E52" s="749"/>
      <c r="F52" s="749"/>
      <c r="G52" s="749"/>
      <c r="H52" s="749"/>
      <c r="I52" s="749"/>
      <c r="J52" s="749"/>
      <c r="K52" s="749"/>
      <c r="L52" s="749"/>
      <c r="M52" s="753">
        <f t="shared" ref="M52:AF52" si="4">M20+M21+M23+M24-M31-M38-M43</f>
        <v>0</v>
      </c>
      <c r="N52" s="751">
        <f t="shared" si="4"/>
        <v>0</v>
      </c>
      <c r="O52" s="751">
        <f t="shared" si="4"/>
        <v>0</v>
      </c>
      <c r="P52" s="751">
        <f t="shared" si="4"/>
        <v>0</v>
      </c>
      <c r="Q52" s="751">
        <f t="shared" si="4"/>
        <v>0</v>
      </c>
      <c r="R52" s="751">
        <f t="shared" si="4"/>
        <v>0</v>
      </c>
      <c r="S52" s="751">
        <f t="shared" si="4"/>
        <v>0</v>
      </c>
      <c r="T52" s="751">
        <f t="shared" si="4"/>
        <v>0</v>
      </c>
      <c r="U52" s="751">
        <f t="shared" si="4"/>
        <v>0</v>
      </c>
      <c r="V52" s="751">
        <f t="shared" si="4"/>
        <v>0</v>
      </c>
      <c r="W52" s="751">
        <f t="shared" si="4"/>
        <v>0</v>
      </c>
      <c r="X52" s="751">
        <f t="shared" si="4"/>
        <v>0</v>
      </c>
      <c r="Y52" s="753">
        <f t="shared" si="4"/>
        <v>-2.2737367544323206E-13</v>
      </c>
      <c r="Z52" s="751">
        <f t="shared" si="4"/>
        <v>0</v>
      </c>
      <c r="AA52" s="751">
        <f t="shared" si="4"/>
        <v>0</v>
      </c>
      <c r="AB52" s="753">
        <f t="shared" si="4"/>
        <v>-1.1368683772161603E-13</v>
      </c>
      <c r="AC52" s="751">
        <f t="shared" si="4"/>
        <v>0</v>
      </c>
      <c r="AD52" s="751">
        <f t="shared" si="4"/>
        <v>0</v>
      </c>
      <c r="AE52" s="751">
        <f t="shared" si="4"/>
        <v>0</v>
      </c>
      <c r="AF52" s="751">
        <f t="shared" si="4"/>
        <v>0</v>
      </c>
      <c r="AG52" s="751"/>
      <c r="AH52" s="751"/>
      <c r="AI52" s="751"/>
      <c r="AJ52" s="751"/>
      <c r="AK52" s="751"/>
      <c r="AL52" s="751"/>
      <c r="AM52" s="751"/>
      <c r="AN52" s="17"/>
    </row>
  </sheetData>
  <phoneticPr fontId="3" type="noConversion"/>
  <pageMargins left="0.78740157499999996" right="0.78740157499999996" top="0.984251969" bottom="0.984251969" header="0.4921259845" footer="0.4921259845"/>
  <pageSetup paperSize="9" scale="5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AT58"/>
  <sheetViews>
    <sheetView showGridLines="0" zoomScaleNormal="100" zoomScaleSheetLayoutView="100" workbookViewId="0">
      <pane ySplit="3" topLeftCell="A25" activePane="bottomLeft" state="frozen"/>
      <selection pane="bottomLeft" activeCell="AU38" sqref="AU38"/>
    </sheetView>
  </sheetViews>
  <sheetFormatPr baseColWidth="10" defaultRowHeight="12.75" outlineLevelCol="3" x14ac:dyDescent="0.2"/>
  <cols>
    <col min="1" max="1" width="46.7109375" customWidth="1"/>
    <col min="2" max="5" width="13.7109375" hidden="1" customWidth="1" outlineLevel="2"/>
    <col min="6" max="7" width="13.28515625" hidden="1" customWidth="1" outlineLevel="3"/>
    <col min="8" max="8" width="13.7109375" hidden="1" customWidth="1" outlineLevel="2" collapsed="1"/>
    <col min="9" max="9" width="13.85546875" hidden="1" customWidth="1" outlineLevel="3"/>
    <col min="10" max="10" width="13.28515625" hidden="1" customWidth="1" outlineLevel="3"/>
    <col min="11" max="11" width="12.42578125" hidden="1" customWidth="1" outlineLevel="3"/>
    <col min="12" max="12" width="13.140625" hidden="1" customWidth="1" outlineLevel="3"/>
    <col min="13" max="13" width="13.7109375" hidden="1" customWidth="1" outlineLevel="2" collapsed="1"/>
    <col min="14" max="14" width="16.85546875" hidden="1" customWidth="1" outlineLevel="1" collapsed="1"/>
    <col min="15" max="15" width="18.5703125" hidden="1" customWidth="1" outlineLevel="1"/>
    <col min="16" max="16" width="17.7109375" hidden="1" customWidth="1" outlineLevel="1"/>
    <col min="17" max="17" width="18.5703125" hidden="1" customWidth="1" outlineLevel="1"/>
    <col min="18" max="18" width="13.7109375" hidden="1" customWidth="1" collapsed="1"/>
    <col min="19" max="19" width="14.7109375" hidden="1" customWidth="1" outlineLevel="1"/>
    <col min="20" max="20" width="16.42578125" hidden="1" customWidth="1" outlineLevel="1"/>
    <col min="21" max="21" width="14.7109375" hidden="1" customWidth="1" outlineLevel="1"/>
    <col min="22" max="22" width="13.28515625" hidden="1" customWidth="1" outlineLevel="1"/>
    <col min="23" max="23" width="14" hidden="1" customWidth="1" outlineLevel="1"/>
    <col min="24" max="24" width="13.7109375" hidden="1" customWidth="1" collapsed="1"/>
    <col min="25" max="25" width="17" hidden="1" customWidth="1" outlineLevel="1"/>
    <col min="26" max="26" width="15.7109375" hidden="1" customWidth="1" outlineLevel="1"/>
    <col min="27" max="27" width="17.42578125" hidden="1" customWidth="1" outlineLevel="1"/>
    <col min="28" max="28" width="15" hidden="1" customWidth="1" outlineLevel="1"/>
    <col min="29" max="29" width="13.7109375" customWidth="1" collapsed="1"/>
    <col min="30" max="30" width="13.42578125" hidden="1" customWidth="1" outlineLevel="1"/>
    <col min="31" max="31" width="14" hidden="1" customWidth="1" outlineLevel="1"/>
    <col min="32" max="34" width="13.28515625" hidden="1" customWidth="1" outlineLevel="1"/>
    <col min="35" max="35" width="12.42578125" hidden="1" customWidth="1" outlineLevel="1"/>
    <col min="36" max="36" width="13.7109375" customWidth="1" collapsed="1"/>
    <col min="37" max="37" width="13.28515625" hidden="1" customWidth="1" outlineLevel="1"/>
    <col min="38" max="39" width="13.7109375" hidden="1" customWidth="1" outlineLevel="1"/>
    <col min="40" max="40" width="12.85546875" hidden="1" customWidth="1" outlineLevel="1"/>
    <col min="41" max="41" width="13.7109375" customWidth="1" collapsed="1"/>
    <col min="42" max="43" width="13.7109375" customWidth="1"/>
  </cols>
  <sheetData>
    <row r="1" spans="1:44" ht="60" customHeight="1" x14ac:dyDescent="0.2"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</row>
    <row r="2" spans="1:44" ht="20.25" customHeight="1" x14ac:dyDescent="0.3">
      <c r="A2" s="579" t="s">
        <v>0</v>
      </c>
      <c r="B2" s="580" t="s">
        <v>28</v>
      </c>
      <c r="C2" s="580" t="s">
        <v>75</v>
      </c>
      <c r="D2" s="580" t="s">
        <v>76</v>
      </c>
      <c r="E2" s="580" t="s">
        <v>108</v>
      </c>
      <c r="F2" s="580" t="s">
        <v>109</v>
      </c>
      <c r="G2" s="582" t="s">
        <v>109</v>
      </c>
      <c r="H2" s="1120" t="s">
        <v>112</v>
      </c>
      <c r="I2" s="1121" t="s">
        <v>81</v>
      </c>
      <c r="J2" s="1121" t="s">
        <v>114</v>
      </c>
      <c r="K2" s="1121" t="s">
        <v>81</v>
      </c>
      <c r="L2" s="1121" t="s">
        <v>81</v>
      </c>
      <c r="M2" s="1122" t="s">
        <v>114</v>
      </c>
      <c r="N2" s="1122" t="s">
        <v>117</v>
      </c>
      <c r="O2" s="1122" t="s">
        <v>119</v>
      </c>
      <c r="P2" s="1122" t="s">
        <v>120</v>
      </c>
      <c r="Q2" s="1122" t="s">
        <v>119</v>
      </c>
      <c r="R2" s="1121" t="s">
        <v>86</v>
      </c>
      <c r="S2" s="1122" t="s">
        <v>123</v>
      </c>
      <c r="T2" s="1122" t="s">
        <v>125</v>
      </c>
      <c r="U2" s="1122" t="s">
        <v>123</v>
      </c>
      <c r="V2" s="1122" t="s">
        <v>123</v>
      </c>
      <c r="W2" s="1121" t="s">
        <v>96</v>
      </c>
      <c r="X2" s="1122" t="s">
        <v>96</v>
      </c>
      <c r="Y2" s="1121" t="s">
        <v>128</v>
      </c>
      <c r="Z2" s="1121" t="s">
        <v>128</v>
      </c>
      <c r="AA2" s="1121" t="s">
        <v>131</v>
      </c>
      <c r="AB2" s="1121" t="s">
        <v>128</v>
      </c>
      <c r="AC2" s="1121" t="s">
        <v>128</v>
      </c>
      <c r="AD2" s="1121" t="s">
        <v>52</v>
      </c>
      <c r="AE2" s="1121" t="s">
        <v>135</v>
      </c>
      <c r="AF2" s="1121" t="s">
        <v>52</v>
      </c>
      <c r="AG2" s="1121" t="s">
        <v>52</v>
      </c>
      <c r="AH2" s="1121" t="s">
        <v>52</v>
      </c>
      <c r="AI2" s="1121" t="s">
        <v>52</v>
      </c>
      <c r="AJ2" s="1121" t="s">
        <v>52</v>
      </c>
      <c r="AK2" s="1121" t="s">
        <v>203</v>
      </c>
      <c r="AL2" s="1121" t="s">
        <v>203</v>
      </c>
      <c r="AM2" s="1121" t="s">
        <v>203</v>
      </c>
      <c r="AN2" s="1121" t="s">
        <v>203</v>
      </c>
      <c r="AO2" s="1121" t="s">
        <v>203</v>
      </c>
      <c r="AP2" s="1121" t="s">
        <v>203</v>
      </c>
      <c r="AQ2" s="1121" t="s">
        <v>250</v>
      </c>
      <c r="AR2" s="467" t="s">
        <v>53</v>
      </c>
    </row>
    <row r="3" spans="1:44" ht="20.25" customHeight="1" x14ac:dyDescent="0.2">
      <c r="A3" s="584"/>
      <c r="B3" s="585"/>
      <c r="C3" s="585"/>
      <c r="D3" s="585"/>
      <c r="E3" s="585"/>
      <c r="F3" s="585" t="s">
        <v>110</v>
      </c>
      <c r="G3" s="585" t="s">
        <v>111</v>
      </c>
      <c r="H3" s="1123"/>
      <c r="I3" s="1123" t="s">
        <v>113</v>
      </c>
      <c r="J3" s="1123" t="s">
        <v>115</v>
      </c>
      <c r="K3" s="1123" t="s">
        <v>83</v>
      </c>
      <c r="L3" s="1123" t="s">
        <v>116</v>
      </c>
      <c r="M3" s="1123"/>
      <c r="N3" s="1123" t="s">
        <v>118</v>
      </c>
      <c r="O3" s="1123" t="s">
        <v>71</v>
      </c>
      <c r="P3" s="1123" t="s">
        <v>121</v>
      </c>
      <c r="Q3" s="1123" t="s">
        <v>122</v>
      </c>
      <c r="R3" s="1123"/>
      <c r="S3" s="1123" t="s">
        <v>124</v>
      </c>
      <c r="T3" s="1123" t="s">
        <v>91</v>
      </c>
      <c r="U3" s="1123" t="s">
        <v>126</v>
      </c>
      <c r="V3" s="1123" t="s">
        <v>127</v>
      </c>
      <c r="W3" s="1123" t="s">
        <v>97</v>
      </c>
      <c r="X3" s="1123"/>
      <c r="Y3" s="1123" t="s">
        <v>129</v>
      </c>
      <c r="Z3" s="1123" t="s">
        <v>130</v>
      </c>
      <c r="AA3" s="1123" t="s">
        <v>132</v>
      </c>
      <c r="AB3" s="1123" t="s">
        <v>133</v>
      </c>
      <c r="AC3" s="1124"/>
      <c r="AD3" s="1123" t="s">
        <v>105</v>
      </c>
      <c r="AE3" s="1123" t="s">
        <v>134</v>
      </c>
      <c r="AF3" s="1124" t="s">
        <v>156</v>
      </c>
      <c r="AG3" s="1124" t="s">
        <v>190</v>
      </c>
      <c r="AH3" s="1124" t="s">
        <v>198</v>
      </c>
      <c r="AI3" s="1124" t="s">
        <v>207</v>
      </c>
      <c r="AJ3" s="1124" t="s">
        <v>229</v>
      </c>
      <c r="AK3" s="1124" t="s">
        <v>207</v>
      </c>
      <c r="AL3" s="1124" t="s">
        <v>237</v>
      </c>
      <c r="AM3" s="1124" t="s">
        <v>238</v>
      </c>
      <c r="AN3" s="1124" t="s">
        <v>241</v>
      </c>
      <c r="AO3" s="1124" t="s">
        <v>263</v>
      </c>
      <c r="AP3" s="1124" t="s">
        <v>252</v>
      </c>
      <c r="AQ3" s="1124" t="s">
        <v>262</v>
      </c>
      <c r="AR3" s="469"/>
    </row>
    <row r="4" spans="1:44" ht="20.25" customHeight="1" x14ac:dyDescent="0.2">
      <c r="A4" s="586"/>
      <c r="B4" s="587"/>
      <c r="C4" s="587"/>
      <c r="D4" s="587"/>
      <c r="E4" s="587"/>
      <c r="F4" s="587"/>
      <c r="G4" s="587"/>
      <c r="H4" s="587"/>
      <c r="I4" s="587"/>
      <c r="J4" s="587"/>
      <c r="K4" s="587"/>
      <c r="L4" s="587"/>
      <c r="M4" s="559"/>
      <c r="N4" s="520"/>
      <c r="O4" s="520"/>
      <c r="P4" s="520"/>
      <c r="Q4" s="520"/>
      <c r="R4" s="520"/>
      <c r="S4" s="520"/>
      <c r="T4" s="520"/>
      <c r="U4" s="520"/>
      <c r="V4" s="520"/>
      <c r="W4" s="520"/>
      <c r="X4" s="520"/>
      <c r="Y4" s="520"/>
      <c r="Z4" s="520"/>
      <c r="AA4" s="520"/>
      <c r="AB4" s="520"/>
      <c r="AC4" s="520"/>
      <c r="AD4" s="520"/>
      <c r="AE4" s="520"/>
      <c r="AF4" s="520"/>
      <c r="AG4" s="638"/>
      <c r="AH4" s="638"/>
      <c r="AI4" s="638"/>
      <c r="AJ4" s="638"/>
      <c r="AK4" s="638"/>
      <c r="AL4" s="1343"/>
      <c r="AM4" s="1343"/>
      <c r="AN4" s="638"/>
      <c r="AO4" s="1623"/>
      <c r="AP4" s="520"/>
      <c r="AQ4" s="520"/>
      <c r="AR4" s="1592"/>
    </row>
    <row r="5" spans="1:44" ht="20.25" customHeight="1" x14ac:dyDescent="0.25">
      <c r="A5" s="588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560"/>
      <c r="N5" s="521"/>
      <c r="O5" s="521"/>
      <c r="P5" s="521"/>
      <c r="Q5" s="521"/>
      <c r="R5" s="521"/>
      <c r="S5" s="521"/>
      <c r="T5" s="521"/>
      <c r="U5" s="521"/>
      <c r="V5" s="521"/>
      <c r="W5" s="521"/>
      <c r="X5" s="521"/>
      <c r="Y5" s="521"/>
      <c r="Z5" s="521"/>
      <c r="AA5" s="521"/>
      <c r="AB5" s="521"/>
      <c r="AC5" s="521"/>
      <c r="AD5" s="521"/>
      <c r="AE5" s="521"/>
      <c r="AF5" s="521"/>
      <c r="AG5" s="676"/>
      <c r="AH5" s="676"/>
      <c r="AI5" s="676"/>
      <c r="AJ5" s="676"/>
      <c r="AK5" s="676"/>
      <c r="AL5" s="1392"/>
      <c r="AM5" s="1392"/>
      <c r="AN5" s="676"/>
      <c r="AO5" s="1671"/>
      <c r="AP5" s="521"/>
      <c r="AQ5" s="521"/>
      <c r="AR5" s="1592"/>
    </row>
    <row r="6" spans="1:44" ht="18" x14ac:dyDescent="0.25">
      <c r="A6" s="589" t="s">
        <v>1</v>
      </c>
      <c r="B6" s="91"/>
      <c r="C6" s="92"/>
      <c r="D6" s="93"/>
      <c r="E6" s="93"/>
      <c r="F6" s="93"/>
      <c r="G6" s="93"/>
      <c r="H6" s="93"/>
      <c r="I6" s="93"/>
      <c r="J6" s="93"/>
      <c r="K6" s="93"/>
      <c r="L6" s="541"/>
      <c r="M6" s="960" t="s">
        <v>54</v>
      </c>
      <c r="N6" s="156"/>
      <c r="O6" s="522"/>
      <c r="P6" s="156"/>
      <c r="Q6" s="156"/>
      <c r="R6" s="959" t="s">
        <v>54</v>
      </c>
      <c r="S6" s="156"/>
      <c r="T6" s="156"/>
      <c r="U6" s="156"/>
      <c r="V6" s="156"/>
      <c r="W6" s="156"/>
      <c r="X6" s="959" t="s">
        <v>54</v>
      </c>
      <c r="Y6" s="156"/>
      <c r="Z6" s="156"/>
      <c r="AA6" s="156"/>
      <c r="AB6" s="156"/>
      <c r="AC6" s="959" t="s">
        <v>55</v>
      </c>
      <c r="AD6" s="156"/>
      <c r="AE6" s="156"/>
      <c r="AF6" s="959" t="s">
        <v>55</v>
      </c>
      <c r="AG6" s="959" t="s">
        <v>55</v>
      </c>
      <c r="AH6" s="959" t="s">
        <v>55</v>
      </c>
      <c r="AI6" s="848"/>
      <c r="AJ6" s="848"/>
      <c r="AK6" s="848"/>
      <c r="AL6" s="1344"/>
      <c r="AM6" s="1344"/>
      <c r="AN6" s="848"/>
      <c r="AO6" s="1624"/>
      <c r="AP6" s="155"/>
      <c r="AQ6" s="155"/>
      <c r="AR6" s="1593"/>
    </row>
    <row r="7" spans="1:44" s="4" customFormat="1" ht="18" x14ac:dyDescent="0.25">
      <c r="A7" s="590"/>
      <c r="B7" s="103"/>
      <c r="C7" s="115"/>
      <c r="D7" s="115"/>
      <c r="E7" s="115"/>
      <c r="F7" s="115"/>
      <c r="G7" s="115"/>
      <c r="H7" s="115"/>
      <c r="I7" s="115"/>
      <c r="J7" s="115"/>
      <c r="K7" s="115"/>
      <c r="L7" s="542"/>
      <c r="M7" s="561"/>
      <c r="N7" s="523"/>
      <c r="O7" s="523"/>
      <c r="P7" s="523"/>
      <c r="Q7" s="523"/>
      <c r="R7" s="524"/>
      <c r="S7" s="523"/>
      <c r="T7" s="523"/>
      <c r="U7" s="523"/>
      <c r="V7" s="523"/>
      <c r="W7" s="523"/>
      <c r="X7" s="524"/>
      <c r="Y7" s="523"/>
      <c r="Z7" s="523"/>
      <c r="AA7" s="523"/>
      <c r="AB7" s="523"/>
      <c r="AC7" s="524"/>
      <c r="AD7" s="523"/>
      <c r="AE7" s="523"/>
      <c r="AF7" s="1032"/>
      <c r="AG7" s="882"/>
      <c r="AH7" s="524"/>
      <c r="AI7" s="994"/>
      <c r="AJ7" s="524"/>
      <c r="AK7" s="969" t="s">
        <v>210</v>
      </c>
      <c r="AL7" s="1393"/>
      <c r="AM7" s="1394"/>
      <c r="AN7" s="1305"/>
      <c r="AO7" s="1672"/>
      <c r="AP7" s="524"/>
      <c r="AQ7" s="524"/>
      <c r="AR7" s="1601"/>
    </row>
    <row r="8" spans="1:44" ht="15" x14ac:dyDescent="0.25">
      <c r="A8" s="591" t="s">
        <v>57</v>
      </c>
      <c r="B8" s="1189">
        <v>44.491999999999997</v>
      </c>
      <c r="C8" s="1177">
        <v>32.046999999999997</v>
      </c>
      <c r="D8" s="1177">
        <v>21.358000000000001</v>
      </c>
      <c r="E8" s="1177">
        <v>42.823999999999998</v>
      </c>
      <c r="F8" s="116">
        <v>49.735999999999997</v>
      </c>
      <c r="G8" s="116">
        <v>50.563000000000002</v>
      </c>
      <c r="H8" s="1177">
        <v>49.735999999999997</v>
      </c>
      <c r="I8" s="116">
        <v>42.07</v>
      </c>
      <c r="J8" s="116">
        <v>42.034999999999997</v>
      </c>
      <c r="K8" s="116">
        <v>41.53</v>
      </c>
      <c r="L8" s="543">
        <v>42</v>
      </c>
      <c r="M8" s="1173">
        <v>41.570999999999998</v>
      </c>
      <c r="N8" s="423">
        <v>37</v>
      </c>
      <c r="O8" s="423">
        <v>37</v>
      </c>
      <c r="P8" s="423">
        <v>37</v>
      </c>
      <c r="Q8" s="423">
        <v>37</v>
      </c>
      <c r="R8" s="1246">
        <v>37.366999999999997</v>
      </c>
      <c r="S8" s="1246">
        <v>38</v>
      </c>
      <c r="T8" s="1246">
        <v>41</v>
      </c>
      <c r="U8" s="1246">
        <v>42</v>
      </c>
      <c r="V8" s="1246">
        <v>42</v>
      </c>
      <c r="W8" s="1246">
        <v>43</v>
      </c>
      <c r="X8" s="1246">
        <v>42.999000000000002</v>
      </c>
      <c r="Y8" s="1246">
        <v>54</v>
      </c>
      <c r="Z8" s="1246">
        <v>72</v>
      </c>
      <c r="AA8" s="1246">
        <v>74</v>
      </c>
      <c r="AB8" s="1246">
        <v>76</v>
      </c>
      <c r="AC8" s="1246">
        <v>75.789000000000001</v>
      </c>
      <c r="AD8" s="1246">
        <v>90</v>
      </c>
      <c r="AE8" s="1246">
        <v>95</v>
      </c>
      <c r="AF8" s="1246">
        <v>94</v>
      </c>
      <c r="AG8" s="1247">
        <v>100</v>
      </c>
      <c r="AH8" s="1246">
        <v>102</v>
      </c>
      <c r="AI8" s="1246">
        <v>122</v>
      </c>
      <c r="AJ8" s="1246">
        <v>123</v>
      </c>
      <c r="AK8" s="856">
        <v>135</v>
      </c>
      <c r="AL8" s="1345">
        <v>140.93</v>
      </c>
      <c r="AM8" s="1395">
        <v>137.345</v>
      </c>
      <c r="AN8" s="1308">
        <v>136.37</v>
      </c>
      <c r="AO8" s="1673">
        <v>137.49</v>
      </c>
      <c r="AP8" s="1308">
        <v>137.49</v>
      </c>
      <c r="AQ8" s="1512">
        <v>141.89099999999999</v>
      </c>
      <c r="AR8" s="1584">
        <f>AQ8/AP8-1</f>
        <v>3.2009600698232443E-2</v>
      </c>
    </row>
    <row r="9" spans="1:44" ht="15" x14ac:dyDescent="0.25">
      <c r="A9" s="591" t="s">
        <v>58</v>
      </c>
      <c r="B9" s="1190">
        <f>B10/B8*10</f>
        <v>27.189157601366539</v>
      </c>
      <c r="C9" s="1178">
        <f>C10/C8*10</f>
        <v>26.012107217524264</v>
      </c>
      <c r="D9" s="1178">
        <f t="shared" ref="D9:AL9" si="0">D10/D8*10</f>
        <v>29.002247401442084</v>
      </c>
      <c r="E9" s="1178">
        <f t="shared" si="0"/>
        <v>25.100878012329538</v>
      </c>
      <c r="F9" s="1014">
        <f t="shared" si="0"/>
        <v>24.328454238378644</v>
      </c>
      <c r="G9" s="1014">
        <f t="shared" si="0"/>
        <v>28.03235567509839</v>
      </c>
      <c r="H9" s="1178">
        <f t="shared" si="0"/>
        <v>27.494169213447002</v>
      </c>
      <c r="I9" s="1013">
        <f t="shared" si="0"/>
        <v>28.690278107915379</v>
      </c>
      <c r="J9" s="1013">
        <f t="shared" si="0"/>
        <v>28.766028309741888</v>
      </c>
      <c r="K9" s="1013">
        <f t="shared" si="0"/>
        <v>29.577413917649888</v>
      </c>
      <c r="L9" s="1015">
        <f t="shared" si="0"/>
        <v>29.6</v>
      </c>
      <c r="M9" s="1174">
        <f t="shared" si="0"/>
        <v>29.472709340646123</v>
      </c>
      <c r="N9" s="967">
        <f t="shared" si="0"/>
        <v>29.45945945945946</v>
      </c>
      <c r="O9" s="967">
        <f t="shared" si="0"/>
        <v>29.45945945945946</v>
      </c>
      <c r="P9" s="967">
        <f t="shared" si="0"/>
        <v>28.108108108108109</v>
      </c>
      <c r="Q9" s="967">
        <f t="shared" si="0"/>
        <v>28.108108108108109</v>
      </c>
      <c r="R9" s="1256">
        <f t="shared" si="0"/>
        <v>27.814649289480027</v>
      </c>
      <c r="S9" s="1256">
        <f t="shared" si="0"/>
        <v>28.000000000000004</v>
      </c>
      <c r="T9" s="1256">
        <f t="shared" si="0"/>
        <v>26.585365853658537</v>
      </c>
      <c r="U9" s="1256">
        <f t="shared" si="0"/>
        <v>26.666666666666664</v>
      </c>
      <c r="V9" s="1256">
        <f t="shared" si="0"/>
        <v>26.428571428571427</v>
      </c>
      <c r="W9" s="1256">
        <f t="shared" si="0"/>
        <v>26.279069767441857</v>
      </c>
      <c r="X9" s="1256">
        <f t="shared" si="0"/>
        <v>25.598734854298936</v>
      </c>
      <c r="Y9" s="1256">
        <f t="shared" si="0"/>
        <v>27.3</v>
      </c>
      <c r="Z9" s="1256">
        <f t="shared" si="0"/>
        <v>29.861111111111111</v>
      </c>
      <c r="AA9" s="1256">
        <f t="shared" si="0"/>
        <v>29.729729729729726</v>
      </c>
      <c r="AB9" s="1256">
        <f t="shared" si="0"/>
        <v>29.736842105263158</v>
      </c>
      <c r="AC9" s="1256">
        <f t="shared" si="0"/>
        <v>29.986145746744249</v>
      </c>
      <c r="AD9" s="1256">
        <f t="shared" si="0"/>
        <v>28.200000000000003</v>
      </c>
      <c r="AE9" s="1256">
        <f t="shared" si="0"/>
        <v>28.2</v>
      </c>
      <c r="AF9" s="1256">
        <f t="shared" si="0"/>
        <v>22.76595744680851</v>
      </c>
      <c r="AG9" s="1258">
        <f t="shared" si="0"/>
        <v>27.200000000000003</v>
      </c>
      <c r="AH9" s="1256">
        <f t="shared" si="0"/>
        <v>27.058823529411768</v>
      </c>
      <c r="AI9" s="1256">
        <f t="shared" si="0"/>
        <v>27.295081967213115</v>
      </c>
      <c r="AJ9" s="1256">
        <f t="shared" si="0"/>
        <v>27.398373983739837</v>
      </c>
      <c r="AK9" s="1005">
        <f>AVERAGE(26.65,28.11,29.6)</f>
        <v>28.12</v>
      </c>
      <c r="AL9" s="1396">
        <f t="shared" si="0"/>
        <v>27.273114312069819</v>
      </c>
      <c r="AM9" s="1397">
        <v>25.091470384797407</v>
      </c>
      <c r="AN9" s="1309">
        <v>24.8</v>
      </c>
      <c r="AO9" s="1674">
        <v>24.8</v>
      </c>
      <c r="AP9" s="1309">
        <v>24.8</v>
      </c>
      <c r="AQ9" s="1513">
        <f>AQ10/AQ8*10</f>
        <v>28.416601475780709</v>
      </c>
      <c r="AR9" s="1584">
        <f>AQ9/AP9-1</f>
        <v>0.14583070466857695</v>
      </c>
    </row>
    <row r="10" spans="1:44" ht="15" x14ac:dyDescent="0.25">
      <c r="A10" s="591" t="s">
        <v>56</v>
      </c>
      <c r="B10" s="1189">
        <v>120.97</v>
      </c>
      <c r="C10" s="1191">
        <v>83.361000000000004</v>
      </c>
      <c r="D10" s="1191">
        <v>61.942999999999998</v>
      </c>
      <c r="E10" s="1177">
        <v>107.492</v>
      </c>
      <c r="F10" s="116">
        <v>121</v>
      </c>
      <c r="G10" s="116">
        <v>141.74</v>
      </c>
      <c r="H10" s="1177">
        <v>136.745</v>
      </c>
      <c r="I10" s="116">
        <v>120.7</v>
      </c>
      <c r="J10" s="116">
        <v>120.91800000000001</v>
      </c>
      <c r="K10" s="116">
        <v>122.83499999999999</v>
      </c>
      <c r="L10" s="543">
        <v>124.32</v>
      </c>
      <c r="M10" s="1173">
        <v>122.521</v>
      </c>
      <c r="N10" s="423">
        <v>109</v>
      </c>
      <c r="O10" s="423">
        <v>109</v>
      </c>
      <c r="P10" s="423">
        <v>104</v>
      </c>
      <c r="Q10" s="423">
        <v>104</v>
      </c>
      <c r="R10" s="1246">
        <v>103.935</v>
      </c>
      <c r="S10" s="1246">
        <v>106.4</v>
      </c>
      <c r="T10" s="1246">
        <v>109</v>
      </c>
      <c r="U10" s="1246">
        <v>112</v>
      </c>
      <c r="V10" s="1246">
        <v>111</v>
      </c>
      <c r="W10" s="1246">
        <v>113</v>
      </c>
      <c r="X10" s="1246">
        <v>110.072</v>
      </c>
      <c r="Y10" s="1246">
        <v>147.41999999999999</v>
      </c>
      <c r="Z10" s="1246">
        <v>215</v>
      </c>
      <c r="AA10" s="1246">
        <v>220</v>
      </c>
      <c r="AB10" s="1246">
        <v>226</v>
      </c>
      <c r="AC10" s="1246">
        <v>227.262</v>
      </c>
      <c r="AD10" s="1246">
        <v>253.8</v>
      </c>
      <c r="AE10" s="1246">
        <v>267.89999999999998</v>
      </c>
      <c r="AF10" s="1246">
        <v>214</v>
      </c>
      <c r="AG10" s="1247">
        <v>272</v>
      </c>
      <c r="AH10" s="1246">
        <v>276</v>
      </c>
      <c r="AI10" s="1246">
        <v>333</v>
      </c>
      <c r="AJ10" s="1246">
        <v>337</v>
      </c>
      <c r="AK10" s="856">
        <f>AK8*AK9/10</f>
        <v>379.62</v>
      </c>
      <c r="AL10" s="1345">
        <v>384.36</v>
      </c>
      <c r="AM10" s="1395">
        <v>344.61879999999996</v>
      </c>
      <c r="AN10" s="1308">
        <v>338.86399999999998</v>
      </c>
      <c r="AO10" s="1675">
        <v>341.54309999999998</v>
      </c>
      <c r="AP10" s="1507">
        <v>341.54309999999998</v>
      </c>
      <c r="AQ10" s="1514">
        <v>403.20600000000002</v>
      </c>
      <c r="AR10" s="1584">
        <f>AQ10/AP10-1</f>
        <v>0.18054207507046716</v>
      </c>
    </row>
    <row r="11" spans="1:44" x14ac:dyDescent="0.2">
      <c r="A11" s="592"/>
      <c r="B11" s="11"/>
      <c r="C11" s="120"/>
      <c r="D11" s="120"/>
      <c r="E11" s="120"/>
      <c r="F11" s="120"/>
      <c r="G11" s="120"/>
      <c r="H11" s="120"/>
      <c r="I11" s="120"/>
      <c r="J11" s="120"/>
      <c r="K11" s="120"/>
      <c r="L11" s="545"/>
      <c r="M11" s="562"/>
      <c r="N11" s="527"/>
      <c r="O11" s="527"/>
      <c r="P11" s="527"/>
      <c r="Q11" s="527"/>
      <c r="R11" s="527"/>
      <c r="S11" s="527"/>
      <c r="T11" s="527"/>
      <c r="U11" s="527"/>
      <c r="V11" s="527"/>
      <c r="W11" s="527"/>
      <c r="X11" s="527"/>
      <c r="Y11" s="528"/>
      <c r="Z11" s="527"/>
      <c r="AA11" s="527"/>
      <c r="AB11" s="527"/>
      <c r="AC11" s="527"/>
      <c r="AD11" s="527"/>
      <c r="AE11" s="527"/>
      <c r="AF11" s="1053"/>
      <c r="AG11" s="883"/>
      <c r="AH11" s="527"/>
      <c r="AI11" s="1030"/>
      <c r="AJ11" s="527"/>
      <c r="AK11" s="888"/>
      <c r="AL11" s="1398"/>
      <c r="AM11" s="1399"/>
      <c r="AN11" s="883"/>
      <c r="AO11" s="1676"/>
      <c r="AP11" s="527"/>
      <c r="AQ11" s="527"/>
      <c r="AR11" s="1584"/>
    </row>
    <row r="12" spans="1:44" ht="14.25" x14ac:dyDescent="0.2">
      <c r="A12" s="593" t="s">
        <v>60</v>
      </c>
      <c r="B12" s="104">
        <f>B10-B21</f>
        <v>6.3349999999999937</v>
      </c>
      <c r="C12" s="57">
        <f t="shared" ref="C12:AH12" si="1">C10-C21</f>
        <v>9.7420000000000044</v>
      </c>
      <c r="D12" s="57">
        <f t="shared" si="1"/>
        <v>10.329000000000001</v>
      </c>
      <c r="E12" s="57">
        <f t="shared" si="1"/>
        <v>10.40100000000001</v>
      </c>
      <c r="F12" s="57">
        <f t="shared" si="1"/>
        <v>4</v>
      </c>
      <c r="G12" s="57">
        <f t="shared" si="1"/>
        <v>10.02000000000001</v>
      </c>
      <c r="H12" s="57">
        <f t="shared" si="1"/>
        <v>14.593000000000004</v>
      </c>
      <c r="I12" s="57">
        <f t="shared" si="1"/>
        <v>18.700000000000003</v>
      </c>
      <c r="J12" s="57">
        <f t="shared" si="1"/>
        <v>24.113</v>
      </c>
      <c r="K12" s="57">
        <f t="shared" si="1"/>
        <v>17.839999999999989</v>
      </c>
      <c r="L12" s="99">
        <f t="shared" si="1"/>
        <v>21.319999999999993</v>
      </c>
      <c r="M12" s="386">
        <f t="shared" si="1"/>
        <v>13.900000000000006</v>
      </c>
      <c r="N12" s="175">
        <f t="shared" si="1"/>
        <v>13</v>
      </c>
      <c r="O12" s="175">
        <f t="shared" si="1"/>
        <v>13</v>
      </c>
      <c r="P12" s="175">
        <f t="shared" si="1"/>
        <v>17</v>
      </c>
      <c r="Q12" s="175">
        <f t="shared" si="1"/>
        <v>14</v>
      </c>
      <c r="R12" s="175">
        <f t="shared" si="1"/>
        <v>13.914000000000001</v>
      </c>
      <c r="S12" s="175">
        <f t="shared" si="1"/>
        <v>15.960000000000008</v>
      </c>
      <c r="T12" s="175">
        <f t="shared" si="1"/>
        <v>15</v>
      </c>
      <c r="U12" s="175">
        <f t="shared" si="1"/>
        <v>22</v>
      </c>
      <c r="V12" s="175">
        <f t="shared" si="1"/>
        <v>27</v>
      </c>
      <c r="W12" s="175">
        <f t="shared" si="1"/>
        <v>23</v>
      </c>
      <c r="X12" s="175">
        <f t="shared" si="1"/>
        <v>20.805999999999997</v>
      </c>
      <c r="Y12" s="175">
        <f t="shared" si="1"/>
        <v>14.74199999999999</v>
      </c>
      <c r="Z12" s="175">
        <f t="shared" si="1"/>
        <v>34</v>
      </c>
      <c r="AA12" s="175">
        <f t="shared" si="1"/>
        <v>30</v>
      </c>
      <c r="AB12" s="175">
        <f t="shared" si="1"/>
        <v>30</v>
      </c>
      <c r="AC12" s="175">
        <f t="shared" si="1"/>
        <v>28.834000000000003</v>
      </c>
      <c r="AD12" s="175">
        <f t="shared" si="1"/>
        <v>50.800000000000011</v>
      </c>
      <c r="AE12" s="175">
        <f t="shared" si="1"/>
        <v>45.543000000000006</v>
      </c>
      <c r="AF12" s="1034">
        <f t="shared" si="1"/>
        <v>40</v>
      </c>
      <c r="AG12" s="679">
        <f t="shared" si="1"/>
        <v>35</v>
      </c>
      <c r="AH12" s="175">
        <f t="shared" si="1"/>
        <v>17</v>
      </c>
      <c r="AI12" s="1024">
        <f>AI10-AI21</f>
        <v>27</v>
      </c>
      <c r="AJ12" s="175">
        <f>AJ10-AJ21</f>
        <v>67.776999999999987</v>
      </c>
      <c r="AK12" s="865"/>
      <c r="AL12" s="1346">
        <f t="shared" ref="AL12:AQ12" si="2">AL10-AL21</f>
        <v>64.360000000000014</v>
      </c>
      <c r="AM12" s="1347">
        <f t="shared" si="2"/>
        <v>53.018799999999942</v>
      </c>
      <c r="AN12" s="679">
        <f t="shared" si="2"/>
        <v>51.084000000000003</v>
      </c>
      <c r="AO12" s="1629">
        <f t="shared" si="2"/>
        <v>65.528039999999976</v>
      </c>
      <c r="AP12" s="679">
        <f>AP10-AP21</f>
        <v>69.417100000000005</v>
      </c>
      <c r="AQ12" s="679">
        <f t="shared" si="2"/>
        <v>86.066940000000045</v>
      </c>
      <c r="AR12" s="1584">
        <f>AQ12/AP12-1</f>
        <v>0.23985214017871725</v>
      </c>
    </row>
    <row r="13" spans="1:44" ht="14.25" x14ac:dyDescent="0.2">
      <c r="A13" s="594" t="s">
        <v>61</v>
      </c>
      <c r="B13" s="138">
        <f>(B12/B10)</f>
        <v>5.2368355790691858E-2</v>
      </c>
      <c r="C13" s="58">
        <f t="shared" ref="C13:AG13" si="3">(C12/C10)</f>
        <v>0.11686520075334994</v>
      </c>
      <c r="D13" s="58">
        <f t="shared" si="3"/>
        <v>0.1667500766834025</v>
      </c>
      <c r="E13" s="58">
        <f t="shared" si="3"/>
        <v>9.6760689167566055E-2</v>
      </c>
      <c r="F13" s="58">
        <f t="shared" si="3"/>
        <v>3.3057851239669422E-2</v>
      </c>
      <c r="G13" s="58">
        <f t="shared" si="3"/>
        <v>7.0692817835473473E-2</v>
      </c>
      <c r="H13" s="58">
        <f t="shared" si="3"/>
        <v>0.10671688178726829</v>
      </c>
      <c r="I13" s="58">
        <f t="shared" si="3"/>
        <v>0.15492957746478875</v>
      </c>
      <c r="J13" s="58">
        <f t="shared" si="3"/>
        <v>0.19941613324732463</v>
      </c>
      <c r="K13" s="58">
        <f t="shared" si="3"/>
        <v>0.14523547848740173</v>
      </c>
      <c r="L13" s="546">
        <f t="shared" si="3"/>
        <v>0.17149292149292145</v>
      </c>
      <c r="M13" s="387">
        <f t="shared" si="3"/>
        <v>0.11344993919409739</v>
      </c>
      <c r="N13" s="181">
        <f t="shared" si="3"/>
        <v>0.11926605504587157</v>
      </c>
      <c r="O13" s="181">
        <f t="shared" si="3"/>
        <v>0.11926605504587157</v>
      </c>
      <c r="P13" s="181">
        <f t="shared" si="3"/>
        <v>0.16346153846153846</v>
      </c>
      <c r="Q13" s="181">
        <f t="shared" si="3"/>
        <v>0.13461538461538461</v>
      </c>
      <c r="R13" s="181">
        <f t="shared" si="3"/>
        <v>0.1338721316207245</v>
      </c>
      <c r="S13" s="181">
        <f t="shared" si="3"/>
        <v>0.15000000000000008</v>
      </c>
      <c r="T13" s="181">
        <f t="shared" si="3"/>
        <v>0.13761467889908258</v>
      </c>
      <c r="U13" s="181">
        <f t="shared" si="3"/>
        <v>0.19642857142857142</v>
      </c>
      <c r="V13" s="181">
        <f t="shared" si="3"/>
        <v>0.24324324324324326</v>
      </c>
      <c r="W13" s="181">
        <f t="shared" si="3"/>
        <v>0.20353982300884957</v>
      </c>
      <c r="X13" s="181">
        <f t="shared" si="3"/>
        <v>0.18902173123046731</v>
      </c>
      <c r="Y13" s="181">
        <f t="shared" si="3"/>
        <v>9.9999999999999936E-2</v>
      </c>
      <c r="Z13" s="181">
        <f t="shared" si="3"/>
        <v>0.15813953488372093</v>
      </c>
      <c r="AA13" s="181">
        <f t="shared" si="3"/>
        <v>0.13636363636363635</v>
      </c>
      <c r="AB13" s="181">
        <f t="shared" si="3"/>
        <v>0.13274336283185842</v>
      </c>
      <c r="AC13" s="181">
        <f t="shared" si="3"/>
        <v>0.12687558852777853</v>
      </c>
      <c r="AD13" s="181">
        <f t="shared" si="3"/>
        <v>0.2001576044129236</v>
      </c>
      <c r="AE13" s="181">
        <f t="shared" si="3"/>
        <v>0.17000000000000004</v>
      </c>
      <c r="AF13" s="1035">
        <f t="shared" si="3"/>
        <v>0.18691588785046728</v>
      </c>
      <c r="AG13" s="680">
        <f t="shared" si="3"/>
        <v>0.12867647058823528</v>
      </c>
      <c r="AH13" s="181">
        <f>(AH12/AH10)</f>
        <v>6.1594202898550728E-2</v>
      </c>
      <c r="AI13" s="1025">
        <f>(AI12/AI10)</f>
        <v>8.1081081081081086E-2</v>
      </c>
      <c r="AJ13" s="181">
        <f>(AJ12/AJ10)</f>
        <v>0.20111869436201776</v>
      </c>
      <c r="AK13" s="859"/>
      <c r="AL13" s="1348">
        <f t="shared" ref="AL13:AQ13" si="4">(AL12/AL10)</f>
        <v>0.16744718493079408</v>
      </c>
      <c r="AM13" s="1349">
        <f t="shared" si="4"/>
        <v>0.15384767168825364</v>
      </c>
      <c r="AN13" s="680">
        <f t="shared" si="4"/>
        <v>0.15075074366117383</v>
      </c>
      <c r="AO13" s="1630">
        <f t="shared" si="4"/>
        <v>0.19185877272882979</v>
      </c>
      <c r="AP13" s="680">
        <f>(AP12/AP10)</f>
        <v>0.20324550547207662</v>
      </c>
      <c r="AQ13" s="680">
        <f t="shared" si="4"/>
        <v>0.21345649618309262</v>
      </c>
      <c r="AR13" s="1584">
        <f>AQ13/AP13-1</f>
        <v>5.0239687649175968E-2</v>
      </c>
    </row>
    <row r="14" spans="1:44" ht="14.25" x14ac:dyDescent="0.2">
      <c r="A14" s="1333"/>
      <c r="B14" s="104"/>
      <c r="C14" s="57"/>
      <c r="D14" s="57"/>
      <c r="E14" s="57"/>
      <c r="F14" s="57"/>
      <c r="G14" s="57"/>
      <c r="H14" s="57"/>
      <c r="I14" s="57"/>
      <c r="J14" s="57"/>
      <c r="K14" s="57"/>
      <c r="L14" s="99"/>
      <c r="M14" s="386"/>
      <c r="N14" s="175"/>
      <c r="O14" s="175"/>
      <c r="P14" s="175"/>
      <c r="Q14" s="175">
        <v>85</v>
      </c>
      <c r="R14" s="175"/>
      <c r="S14" s="175"/>
      <c r="T14" s="175"/>
      <c r="U14" s="175">
        <v>75</v>
      </c>
      <c r="V14" s="175">
        <v>80</v>
      </c>
      <c r="W14" s="175">
        <v>84</v>
      </c>
      <c r="X14" s="175"/>
      <c r="Y14" s="175"/>
      <c r="Z14" s="175"/>
      <c r="AA14" s="175">
        <v>167</v>
      </c>
      <c r="AB14" s="175"/>
      <c r="AC14" s="175"/>
      <c r="AD14" s="175"/>
      <c r="AE14" s="175"/>
      <c r="AF14" s="1034"/>
      <c r="AG14" s="679"/>
      <c r="AH14" s="175"/>
      <c r="AI14" s="1024"/>
      <c r="AJ14" s="175"/>
      <c r="AK14" s="865"/>
      <c r="AL14" s="1346"/>
      <c r="AM14" s="1347"/>
      <c r="AN14" s="679"/>
      <c r="AO14" s="1629"/>
      <c r="AP14" s="175"/>
      <c r="AQ14" s="175"/>
      <c r="AR14" s="1584"/>
    </row>
    <row r="15" spans="1:44" ht="14.25" x14ac:dyDescent="0.2">
      <c r="A15" s="593" t="s">
        <v>44</v>
      </c>
      <c r="B15" s="104"/>
      <c r="C15" s="57"/>
      <c r="D15" s="57"/>
      <c r="E15" s="57"/>
      <c r="F15" s="57"/>
      <c r="G15" s="57"/>
      <c r="H15" s="57"/>
      <c r="I15" s="57"/>
      <c r="J15" s="57"/>
      <c r="K15" s="57"/>
      <c r="L15" s="99"/>
      <c r="M15" s="386"/>
      <c r="N15" s="175"/>
      <c r="O15" s="175"/>
      <c r="P15" s="175"/>
      <c r="Q15" s="175">
        <v>0.81730769230769229</v>
      </c>
      <c r="R15" s="175"/>
      <c r="S15" s="175"/>
      <c r="T15" s="175"/>
      <c r="U15" s="175">
        <v>0.6696428571428571</v>
      </c>
      <c r="V15" s="175">
        <v>0.72072072072072069</v>
      </c>
      <c r="W15" s="175">
        <v>0.74336283185840712</v>
      </c>
      <c r="X15" s="175"/>
      <c r="Y15" s="175"/>
      <c r="Z15" s="175"/>
      <c r="AA15" s="175">
        <v>0.75909090909090904</v>
      </c>
      <c r="AB15" s="175"/>
      <c r="AC15" s="1334">
        <v>193</v>
      </c>
      <c r="AD15" s="175"/>
      <c r="AE15" s="175"/>
      <c r="AF15" s="1034"/>
      <c r="AG15" s="885">
        <v>239</v>
      </c>
      <c r="AH15" s="797">
        <v>248</v>
      </c>
      <c r="AI15" s="1024">
        <v>262</v>
      </c>
      <c r="AJ15" s="175"/>
      <c r="AK15" s="865"/>
      <c r="AL15" s="1400"/>
      <c r="AM15" s="1347"/>
      <c r="AN15" s="679"/>
      <c r="AO15" s="1629">
        <f>266346/1000</f>
        <v>266.346</v>
      </c>
      <c r="AP15" s="175"/>
      <c r="AQ15" s="1533">
        <f>1490/1000</f>
        <v>1.49</v>
      </c>
      <c r="AR15" s="1584"/>
    </row>
    <row r="16" spans="1:44" ht="14.25" x14ac:dyDescent="0.2">
      <c r="A16" s="596" t="s">
        <v>191</v>
      </c>
      <c r="B16" s="104"/>
      <c r="C16" s="57"/>
      <c r="D16" s="57"/>
      <c r="E16" s="57"/>
      <c r="F16" s="57"/>
      <c r="G16" s="57"/>
      <c r="H16" s="57"/>
      <c r="I16" s="57"/>
      <c r="J16" s="57"/>
      <c r="K16" s="57"/>
      <c r="L16" s="99"/>
      <c r="M16" s="386"/>
      <c r="N16" s="175"/>
      <c r="O16" s="175"/>
      <c r="P16" s="175"/>
      <c r="Q16" s="175"/>
      <c r="R16" s="175"/>
      <c r="S16" s="175"/>
      <c r="T16" s="175"/>
      <c r="U16" s="175"/>
      <c r="V16" s="175"/>
      <c r="W16" s="175">
        <v>0.93333333333333335</v>
      </c>
      <c r="X16" s="175"/>
      <c r="Y16" s="175"/>
      <c r="Z16" s="175"/>
      <c r="AA16" s="175">
        <v>0.87894736842105259</v>
      </c>
      <c r="AB16" s="175"/>
      <c r="AC16" s="1331">
        <f>AC15/AC10</f>
        <v>0.84924008413197105</v>
      </c>
      <c r="AD16" s="797"/>
      <c r="AE16" s="797"/>
      <c r="AF16" s="1054">
        <f>AF15/AF10</f>
        <v>0</v>
      </c>
      <c r="AG16" s="886">
        <f>AG15/AG10</f>
        <v>0.87867647058823528</v>
      </c>
      <c r="AH16" s="790">
        <f>AH15/AH10</f>
        <v>0.89855072463768115</v>
      </c>
      <c r="AI16" s="1025">
        <f>AI15/AI10</f>
        <v>0.78678678678678682</v>
      </c>
      <c r="AJ16" s="181"/>
      <c r="AK16" s="859"/>
      <c r="AL16" s="1371"/>
      <c r="AM16" s="1349"/>
      <c r="AN16" s="680"/>
      <c r="AO16" s="1630">
        <f>AO15/AO10</f>
        <v>0.77983130093976427</v>
      </c>
      <c r="AP16" s="680"/>
      <c r="AQ16" s="1534">
        <f>AQ15/AQ10</f>
        <v>3.6953815171401217E-3</v>
      </c>
      <c r="AR16" s="1584"/>
    </row>
    <row r="17" spans="1:46" ht="14.25" x14ac:dyDescent="0.2">
      <c r="A17" s="596" t="s">
        <v>29</v>
      </c>
      <c r="B17" s="104"/>
      <c r="C17" s="57"/>
      <c r="D17" s="57"/>
      <c r="E17" s="57"/>
      <c r="F17" s="57"/>
      <c r="G17" s="57"/>
      <c r="H17" s="57"/>
      <c r="I17" s="57"/>
      <c r="J17" s="57"/>
      <c r="K17" s="57"/>
      <c r="L17" s="99"/>
      <c r="M17" s="386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334">
        <f>AC15/AC21</f>
        <v>0.97264498961840062</v>
      </c>
      <c r="AD17" s="797"/>
      <c r="AE17" s="797"/>
      <c r="AF17" s="1054">
        <f>AF15/AF21</f>
        <v>0</v>
      </c>
      <c r="AG17" s="886">
        <f>AG15/AG21</f>
        <v>1.0084388185654007</v>
      </c>
      <c r="AH17" s="797">
        <f>AH15/AH21</f>
        <v>0.9575289575289575</v>
      </c>
      <c r="AI17" s="1031">
        <f>AI15/AI21</f>
        <v>0.85620915032679734</v>
      </c>
      <c r="AJ17" s="181"/>
      <c r="AK17" s="859"/>
      <c r="AL17" s="1400"/>
      <c r="AM17" s="1349"/>
      <c r="AN17" s="680"/>
      <c r="AO17" s="1630">
        <f>AO15/AO21</f>
        <v>0.96496908538251502</v>
      </c>
      <c r="AP17" s="680"/>
      <c r="AQ17" s="1534">
        <f>AQ15/AQ21</f>
        <v>4.698254450271752E-3</v>
      </c>
      <c r="AR17" s="1584"/>
    </row>
    <row r="18" spans="1:46" ht="14.25" x14ac:dyDescent="0.2">
      <c r="A18" s="596"/>
      <c r="B18" s="104"/>
      <c r="C18" s="57"/>
      <c r="D18" s="57"/>
      <c r="E18" s="57"/>
      <c r="F18" s="57"/>
      <c r="G18" s="57"/>
      <c r="H18" s="57"/>
      <c r="I18" s="57"/>
      <c r="J18" s="57"/>
      <c r="K18" s="57"/>
      <c r="L18" s="99"/>
      <c r="M18" s="386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034"/>
      <c r="AG18" s="679"/>
      <c r="AH18" s="175"/>
      <c r="AI18" s="1024"/>
      <c r="AJ18" s="175"/>
      <c r="AK18" s="865"/>
      <c r="AL18" s="1346"/>
      <c r="AM18" s="1347"/>
      <c r="AN18" s="679"/>
      <c r="AO18" s="1629"/>
      <c r="AP18" s="175"/>
      <c r="AQ18" s="175"/>
      <c r="AR18" s="1584"/>
    </row>
    <row r="19" spans="1:46" ht="15" x14ac:dyDescent="0.25">
      <c r="A19" s="597" t="s">
        <v>59</v>
      </c>
      <c r="B19" s="104"/>
      <c r="C19" s="57"/>
      <c r="D19" s="57"/>
      <c r="E19" s="57"/>
      <c r="F19" s="57"/>
      <c r="G19" s="57"/>
      <c r="H19" s="57"/>
      <c r="I19" s="57"/>
      <c r="J19" s="57"/>
      <c r="K19" s="57"/>
      <c r="L19" s="99"/>
      <c r="M19" s="386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034"/>
      <c r="AG19" s="679"/>
      <c r="AH19" s="175"/>
      <c r="AI19" s="1024"/>
      <c r="AJ19" s="175"/>
      <c r="AK19" s="865"/>
      <c r="AL19" s="1346"/>
      <c r="AM19" s="1347"/>
      <c r="AN19" s="679"/>
      <c r="AO19" s="1629"/>
      <c r="AP19" s="175"/>
      <c r="AQ19" s="175"/>
      <c r="AR19" s="1602"/>
      <c r="AS19" s="749"/>
      <c r="AT19" s="749"/>
    </row>
    <row r="20" spans="1:46" ht="15" x14ac:dyDescent="0.25">
      <c r="A20" s="598" t="s">
        <v>2</v>
      </c>
      <c r="B20" s="1210">
        <v>34.51</v>
      </c>
      <c r="C20" s="1160">
        <f>B43</f>
        <v>25.43100000000004</v>
      </c>
      <c r="D20" s="1160">
        <f>C43</f>
        <v>23.48599999999999</v>
      </c>
      <c r="E20" s="1160">
        <f>D43</f>
        <v>19.156000000000176</v>
      </c>
      <c r="F20" s="1211">
        <v>46</v>
      </c>
      <c r="G20" s="1211">
        <v>34.125</v>
      </c>
      <c r="H20" s="1160">
        <f>E43</f>
        <v>16.508000000000266</v>
      </c>
      <c r="I20" s="57">
        <v>58.217999999999961</v>
      </c>
      <c r="J20" s="57">
        <v>58.217999999999961</v>
      </c>
      <c r="K20" s="57">
        <v>58.217999999999961</v>
      </c>
      <c r="L20" s="99">
        <v>58.217999999999961</v>
      </c>
      <c r="M20" s="1161">
        <f>H43</f>
        <v>34.950000000000387</v>
      </c>
      <c r="N20" s="200">
        <v>34</v>
      </c>
      <c r="O20" s="200">
        <v>34</v>
      </c>
      <c r="P20" s="200">
        <v>34</v>
      </c>
      <c r="Q20" s="200">
        <v>34</v>
      </c>
      <c r="R20" s="729">
        <f>M43</f>
        <v>25.118000000000393</v>
      </c>
      <c r="S20" s="729">
        <v>30</v>
      </c>
      <c r="T20" s="729">
        <v>21</v>
      </c>
      <c r="U20" s="729">
        <v>21</v>
      </c>
      <c r="V20" s="729">
        <v>21</v>
      </c>
      <c r="W20" s="729">
        <v>21</v>
      </c>
      <c r="X20" s="729">
        <f>R43</f>
        <v>18.560000000000628</v>
      </c>
      <c r="Y20" s="729">
        <v>24</v>
      </c>
      <c r="Z20" s="729">
        <v>45</v>
      </c>
      <c r="AA20" s="729">
        <v>45</v>
      </c>
      <c r="AB20" s="729">
        <v>45</v>
      </c>
      <c r="AC20" s="729">
        <f>X43</f>
        <v>19.707000000000562</v>
      </c>
      <c r="AD20" s="729">
        <v>103</v>
      </c>
      <c r="AE20" s="729">
        <v>103</v>
      </c>
      <c r="AF20" s="729">
        <v>83</v>
      </c>
      <c r="AG20" s="1249">
        <v>83</v>
      </c>
      <c r="AH20" s="729">
        <v>83</v>
      </c>
      <c r="AI20" s="729">
        <f>AC43</f>
        <v>47.350000000000591</v>
      </c>
      <c r="AJ20" s="729">
        <f>AC43</f>
        <v>47.350000000000591</v>
      </c>
      <c r="AK20" s="863">
        <f>'[1]SO 15-16'!AI43</f>
        <v>141</v>
      </c>
      <c r="AL20" s="1352">
        <f>AJ43</f>
        <v>71.225000000000591</v>
      </c>
      <c r="AM20" s="1007">
        <f>AJ43</f>
        <v>71.225000000000591</v>
      </c>
      <c r="AN20" s="682">
        <f>AJ43</f>
        <v>71.225000000000591</v>
      </c>
      <c r="AO20" s="1635">
        <f>AJ43</f>
        <v>71.225000000000591</v>
      </c>
      <c r="AP20" s="682">
        <f>AJ43</f>
        <v>71.225000000000591</v>
      </c>
      <c r="AQ20" s="200">
        <f>AP43</f>
        <v>102.85100000000045</v>
      </c>
      <c r="AR20" s="1603">
        <f>AQ20/AP20-1</f>
        <v>0.44402948402947851</v>
      </c>
      <c r="AS20" s="749"/>
      <c r="AT20" s="749"/>
    </row>
    <row r="21" spans="1:46" ht="15" x14ac:dyDescent="0.25">
      <c r="A21" s="599" t="s">
        <v>21</v>
      </c>
      <c r="B21" s="1210">
        <v>114.63500000000001</v>
      </c>
      <c r="C21" s="1160">
        <v>73.619</v>
      </c>
      <c r="D21" s="1160">
        <v>51.613999999999997</v>
      </c>
      <c r="E21" s="1160">
        <v>97.090999999999994</v>
      </c>
      <c r="F21" s="57">
        <v>117</v>
      </c>
      <c r="G21" s="57">
        <v>131.72</v>
      </c>
      <c r="H21" s="1160">
        <v>122.152</v>
      </c>
      <c r="I21" s="57">
        <v>102</v>
      </c>
      <c r="J21" s="57">
        <v>96.805000000000007</v>
      </c>
      <c r="K21" s="57">
        <v>104.995</v>
      </c>
      <c r="L21" s="99">
        <v>103</v>
      </c>
      <c r="M21" s="1161">
        <v>108.621</v>
      </c>
      <c r="N21" s="200">
        <v>96</v>
      </c>
      <c r="O21" s="200">
        <v>96</v>
      </c>
      <c r="P21" s="200">
        <v>87</v>
      </c>
      <c r="Q21" s="200">
        <v>90</v>
      </c>
      <c r="R21" s="729">
        <v>90.021000000000001</v>
      </c>
      <c r="S21" s="729">
        <v>90.44</v>
      </c>
      <c r="T21" s="729">
        <v>94</v>
      </c>
      <c r="U21" s="729">
        <v>90</v>
      </c>
      <c r="V21" s="729">
        <v>84</v>
      </c>
      <c r="W21" s="729">
        <v>90</v>
      </c>
      <c r="X21" s="729">
        <v>89.266000000000005</v>
      </c>
      <c r="Y21" s="729">
        <v>132.678</v>
      </c>
      <c r="Z21" s="729">
        <v>181</v>
      </c>
      <c r="AA21" s="729">
        <v>190</v>
      </c>
      <c r="AB21" s="729">
        <v>196</v>
      </c>
      <c r="AC21" s="729">
        <v>198.428</v>
      </c>
      <c r="AD21" s="729">
        <v>203</v>
      </c>
      <c r="AE21" s="729">
        <v>222.35699999999997</v>
      </c>
      <c r="AF21" s="729">
        <v>174</v>
      </c>
      <c r="AG21" s="1249">
        <v>237</v>
      </c>
      <c r="AH21" s="729">
        <v>259</v>
      </c>
      <c r="AI21" s="729">
        <v>306</v>
      </c>
      <c r="AJ21" s="729">
        <v>269.22300000000001</v>
      </c>
      <c r="AK21" s="863">
        <f>AK22*AK10</f>
        <v>348.84000000000003</v>
      </c>
      <c r="AL21" s="1352">
        <v>320</v>
      </c>
      <c r="AM21" s="1401">
        <v>291.60000000000002</v>
      </c>
      <c r="AN21" s="1310">
        <v>287.77999999999997</v>
      </c>
      <c r="AO21" s="1677">
        <f>276015.06/1000</f>
        <v>276.01506000000001</v>
      </c>
      <c r="AP21" s="1731">
        <v>272.12599999999998</v>
      </c>
      <c r="AQ21" s="1514">
        <f>317139.06/1000</f>
        <v>317.13905999999997</v>
      </c>
      <c r="AR21" s="1603">
        <f>AQ21/AP21-1</f>
        <v>0.16541256623769862</v>
      </c>
      <c r="AS21" s="749"/>
      <c r="AT21" s="749"/>
    </row>
    <row r="22" spans="1:46" ht="14.25" x14ac:dyDescent="0.2">
      <c r="A22" s="600" t="s">
        <v>30</v>
      </c>
      <c r="B22" s="387">
        <v>0.91869918699186992</v>
      </c>
      <c r="C22" s="387">
        <v>0.83977272727272734</v>
      </c>
      <c r="D22" s="387">
        <v>0.81076724693745972</v>
      </c>
      <c r="E22" s="387">
        <v>0.8726545566669992</v>
      </c>
      <c r="F22" s="387"/>
      <c r="G22" s="387"/>
      <c r="H22" s="387">
        <v>0.83575612931221521</v>
      </c>
      <c r="I22" s="57"/>
      <c r="J22" s="57"/>
      <c r="K22" s="57"/>
      <c r="L22" s="99"/>
      <c r="M22" s="387">
        <v>0.86872586872586877</v>
      </c>
      <c r="N22" s="181"/>
      <c r="O22" s="181"/>
      <c r="P22" s="181"/>
      <c r="Q22" s="181">
        <v>0.86538461538461542</v>
      </c>
      <c r="R22" s="181">
        <f>R21/R10</f>
        <v>0.86612786837927547</v>
      </c>
      <c r="S22" s="181"/>
      <c r="T22" s="181">
        <v>0.86238532110091748</v>
      </c>
      <c r="U22" s="181">
        <v>0.8035714285714286</v>
      </c>
      <c r="V22" s="181">
        <v>0.7567567567567568</v>
      </c>
      <c r="W22" s="181">
        <v>0.79646017699115046</v>
      </c>
      <c r="X22" s="181">
        <f>X21/X10</f>
        <v>0.81097826876953272</v>
      </c>
      <c r="Y22" s="181"/>
      <c r="Z22" s="181">
        <v>0.8418604651162791</v>
      </c>
      <c r="AA22" s="181">
        <v>0.86363636363636365</v>
      </c>
      <c r="AB22" s="181">
        <v>0.86725663716814161</v>
      </c>
      <c r="AC22" s="181">
        <f>AC21/AC10</f>
        <v>0.87312441147222153</v>
      </c>
      <c r="AD22" s="181">
        <v>0.79984239558707648</v>
      </c>
      <c r="AE22" s="181">
        <v>0.83</v>
      </c>
      <c r="AF22" s="1035">
        <v>0.81308411214953269</v>
      </c>
      <c r="AG22" s="680">
        <f>AG21/AG10</f>
        <v>0.87132352941176472</v>
      </c>
      <c r="AH22" s="181">
        <f>AH21/AH10</f>
        <v>0.93840579710144922</v>
      </c>
      <c r="AI22" s="1025">
        <f>AI21/AI10</f>
        <v>0.91891891891891897</v>
      </c>
      <c r="AJ22" s="181">
        <f>AJ21/AJ10</f>
        <v>0.79888130563798221</v>
      </c>
      <c r="AK22" s="859">
        <f>AI22</f>
        <v>0.91891891891891897</v>
      </c>
      <c r="AL22" s="1348">
        <f t="shared" ref="AL22:AQ22" si="5">AL21/AL10</f>
        <v>0.83255281506920598</v>
      </c>
      <c r="AM22" s="1349">
        <f t="shared" si="5"/>
        <v>0.84615232831174636</v>
      </c>
      <c r="AN22" s="680">
        <f t="shared" si="5"/>
        <v>0.8492492563388262</v>
      </c>
      <c r="AO22" s="1630">
        <f t="shared" si="5"/>
        <v>0.80814122727117021</v>
      </c>
      <c r="AP22" s="680">
        <f>AP21/AP10</f>
        <v>0.79675449452792335</v>
      </c>
      <c r="AQ22" s="680">
        <f t="shared" si="5"/>
        <v>0.78654350381690741</v>
      </c>
      <c r="AR22" s="1602">
        <f>AQ22/AO22-1</f>
        <v>-2.6725184566058213E-2</v>
      </c>
      <c r="AS22" s="749"/>
      <c r="AT22" s="749"/>
    </row>
    <row r="23" spans="1:46" ht="14.25" x14ac:dyDescent="0.2">
      <c r="A23" s="601" t="s">
        <v>31</v>
      </c>
      <c r="B23" s="104">
        <v>-72</v>
      </c>
      <c r="C23" s="113">
        <v>-27</v>
      </c>
      <c r="D23" s="113">
        <v>-77</v>
      </c>
      <c r="E23" s="57">
        <v>-41</v>
      </c>
      <c r="F23" s="57"/>
      <c r="G23" s="57"/>
      <c r="H23" s="57">
        <v>-12</v>
      </c>
      <c r="I23" s="57"/>
      <c r="J23" s="57"/>
      <c r="K23" s="57"/>
      <c r="L23" s="99"/>
      <c r="M23" s="386">
        <v>64</v>
      </c>
      <c r="N23" s="175"/>
      <c r="O23" s="175"/>
      <c r="P23" s="175"/>
      <c r="Q23" s="175"/>
      <c r="R23" s="175">
        <v>22</v>
      </c>
      <c r="S23" s="175"/>
      <c r="T23" s="175"/>
      <c r="U23" s="175"/>
      <c r="V23" s="175"/>
      <c r="W23" s="175"/>
      <c r="X23" s="175">
        <v>-23</v>
      </c>
      <c r="Y23" s="175"/>
      <c r="Z23" s="175"/>
      <c r="AA23" s="175"/>
      <c r="AB23" s="175"/>
      <c r="AC23" s="175">
        <v>-59</v>
      </c>
      <c r="AD23" s="175"/>
      <c r="AE23" s="175"/>
      <c r="AF23" s="1034"/>
      <c r="AG23" s="679"/>
      <c r="AH23" s="175"/>
      <c r="AI23" s="1024"/>
      <c r="AJ23" s="175">
        <v>-110</v>
      </c>
      <c r="AK23" s="865"/>
      <c r="AL23" s="1346"/>
      <c r="AM23" s="1347"/>
      <c r="AN23" s="679"/>
      <c r="AO23" s="1629">
        <v>-100</v>
      </c>
      <c r="AP23" s="1732">
        <v>-130</v>
      </c>
      <c r="AQ23" s="175"/>
      <c r="AR23" s="1602"/>
      <c r="AS23" s="749"/>
      <c r="AT23" s="749"/>
    </row>
    <row r="24" spans="1:46" ht="15" x14ac:dyDescent="0.25">
      <c r="A24" s="627" t="s">
        <v>20</v>
      </c>
      <c r="B24" s="530">
        <f t="shared" ref="B24:AC24" si="6">B25+B26</f>
        <v>482.93600000000004</v>
      </c>
      <c r="C24" s="530">
        <f t="shared" si="6"/>
        <v>368.23399999999998</v>
      </c>
      <c r="D24" s="530">
        <f t="shared" si="6"/>
        <v>627.80400000000009</v>
      </c>
      <c r="E24" s="530">
        <f t="shared" si="6"/>
        <v>603.49900000000002</v>
      </c>
      <c r="F24" s="530">
        <f t="shared" si="6"/>
        <v>570</v>
      </c>
      <c r="G24" s="530">
        <f t="shared" si="6"/>
        <v>500</v>
      </c>
      <c r="H24" s="530">
        <f t="shared" si="6"/>
        <v>554.52600000000007</v>
      </c>
      <c r="I24" s="530">
        <f t="shared" si="6"/>
        <v>650</v>
      </c>
      <c r="J24" s="530">
        <f t="shared" si="6"/>
        <v>700</v>
      </c>
      <c r="K24" s="530">
        <f t="shared" si="6"/>
        <v>690</v>
      </c>
      <c r="L24" s="530">
        <f t="shared" si="6"/>
        <v>690</v>
      </c>
      <c r="M24" s="530">
        <f t="shared" si="6"/>
        <v>647.08699999999999</v>
      </c>
      <c r="N24" s="530">
        <f t="shared" si="6"/>
        <v>650</v>
      </c>
      <c r="O24" s="530">
        <f t="shared" si="6"/>
        <v>670</v>
      </c>
      <c r="P24" s="530">
        <f t="shared" si="6"/>
        <v>670</v>
      </c>
      <c r="Q24" s="530">
        <f t="shared" si="6"/>
        <v>655</v>
      </c>
      <c r="R24" s="530">
        <f t="shared" si="6"/>
        <v>617.4140000000001</v>
      </c>
      <c r="S24" s="530">
        <f t="shared" si="6"/>
        <v>710</v>
      </c>
      <c r="T24" s="530">
        <f t="shared" si="6"/>
        <v>620</v>
      </c>
      <c r="U24" s="530">
        <f t="shared" si="6"/>
        <v>600</v>
      </c>
      <c r="V24" s="530">
        <f t="shared" si="6"/>
        <v>615</v>
      </c>
      <c r="W24" s="530">
        <f t="shared" si="6"/>
        <v>625</v>
      </c>
      <c r="X24" s="530">
        <f t="shared" si="6"/>
        <v>649.68799999999999</v>
      </c>
      <c r="Y24" s="530">
        <f t="shared" si="6"/>
        <v>580</v>
      </c>
      <c r="Z24" s="530">
        <f t="shared" si="6"/>
        <v>550</v>
      </c>
      <c r="AA24" s="530">
        <f t="shared" si="6"/>
        <v>640</v>
      </c>
      <c r="AB24" s="530">
        <f t="shared" si="6"/>
        <v>636</v>
      </c>
      <c r="AC24" s="530">
        <f t="shared" si="6"/>
        <v>667.14</v>
      </c>
      <c r="AD24" s="530">
        <v>610</v>
      </c>
      <c r="AE24" s="530">
        <v>600</v>
      </c>
      <c r="AF24" s="530">
        <v>650</v>
      </c>
      <c r="AG24" s="756">
        <f>AG25+AG26</f>
        <v>660</v>
      </c>
      <c r="AH24" s="530">
        <f>AH25+AH26</f>
        <v>660</v>
      </c>
      <c r="AI24" s="756">
        <f>AI25+AI26</f>
        <v>680</v>
      </c>
      <c r="AJ24" s="530">
        <f>AJ25+AJ26</f>
        <v>846.27</v>
      </c>
      <c r="AK24" s="1007"/>
      <c r="AL24" s="1728" t="s">
        <v>230</v>
      </c>
      <c r="AM24" s="1402">
        <f t="shared" ref="AM24:AQ24" si="7">AM25+AM26</f>
        <v>0</v>
      </c>
      <c r="AN24" s="1311">
        <f t="shared" si="7"/>
        <v>0</v>
      </c>
      <c r="AO24" s="1678">
        <f t="shared" si="7"/>
        <v>850</v>
      </c>
      <c r="AP24" s="1567">
        <f>AP25+AP26</f>
        <v>906.6</v>
      </c>
      <c r="AQ24" s="1567">
        <f t="shared" si="7"/>
        <v>770</v>
      </c>
      <c r="AR24" s="1604">
        <f>AQ24/AP24-1</f>
        <v>-0.15067284359144062</v>
      </c>
      <c r="AS24" s="749"/>
      <c r="AT24" s="749"/>
    </row>
    <row r="25" spans="1:46" ht="14.25" x14ac:dyDescent="0.2">
      <c r="A25" s="602" t="s">
        <v>216</v>
      </c>
      <c r="B25" s="1209">
        <v>48.841000000000001</v>
      </c>
      <c r="C25" s="1156">
        <v>60.383000000000003</v>
      </c>
      <c r="D25" s="1156">
        <v>57.012</v>
      </c>
      <c r="E25" s="1156">
        <v>90.454999999999998</v>
      </c>
      <c r="F25" s="57">
        <v>50</v>
      </c>
      <c r="G25" s="57">
        <v>50</v>
      </c>
      <c r="H25" s="1156">
        <v>48.789000000000001</v>
      </c>
      <c r="I25" s="57">
        <v>50</v>
      </c>
      <c r="J25" s="57">
        <v>50</v>
      </c>
      <c r="K25" s="57">
        <v>50</v>
      </c>
      <c r="L25" s="99">
        <v>50</v>
      </c>
      <c r="M25" s="1150">
        <v>51.610999999999997</v>
      </c>
      <c r="N25" s="175">
        <v>50</v>
      </c>
      <c r="O25" s="175">
        <v>50</v>
      </c>
      <c r="P25" s="175">
        <v>45</v>
      </c>
      <c r="Q25" s="175">
        <v>40</v>
      </c>
      <c r="R25" s="1206">
        <v>35.372999999999998</v>
      </c>
      <c r="S25" s="1206">
        <v>50</v>
      </c>
      <c r="T25" s="1206">
        <v>40</v>
      </c>
      <c r="U25" s="1206">
        <v>30</v>
      </c>
      <c r="V25" s="1206">
        <v>45</v>
      </c>
      <c r="W25" s="1206">
        <v>35</v>
      </c>
      <c r="X25" s="1206">
        <v>34.530999999999999</v>
      </c>
      <c r="Y25" s="1206">
        <v>20</v>
      </c>
      <c r="Z25" s="1206">
        <v>20</v>
      </c>
      <c r="AA25" s="1206">
        <v>110</v>
      </c>
      <c r="AB25" s="1206">
        <v>116</v>
      </c>
      <c r="AC25" s="1212">
        <v>141.56299999999999</v>
      </c>
      <c r="AD25" s="175">
        <v>110</v>
      </c>
      <c r="AE25" s="175">
        <v>50</v>
      </c>
      <c r="AF25" s="1034">
        <v>50</v>
      </c>
      <c r="AG25" s="679">
        <v>80</v>
      </c>
      <c r="AH25" s="847">
        <v>152</v>
      </c>
      <c r="AI25" s="1085">
        <v>160</v>
      </c>
      <c r="AJ25" s="1212">
        <v>212.37</v>
      </c>
      <c r="AK25" s="1008"/>
      <c r="AL25" s="1729"/>
      <c r="AM25" s="1403"/>
      <c r="AN25" s="1730"/>
      <c r="AO25" s="1679">
        <v>200</v>
      </c>
      <c r="AP25" s="1582">
        <v>196.9</v>
      </c>
      <c r="AQ25" s="1583">
        <v>100</v>
      </c>
      <c r="AR25" s="1605" t="e">
        <f>#REF!/AO25-1</f>
        <v>#REF!</v>
      </c>
      <c r="AS25" s="749"/>
      <c r="AT25" s="749"/>
    </row>
    <row r="26" spans="1:46" ht="14.25" x14ac:dyDescent="0.2">
      <c r="A26" s="602" t="s">
        <v>3</v>
      </c>
      <c r="B26" s="1209">
        <v>434.09500000000003</v>
      </c>
      <c r="C26" s="1156">
        <v>307.851</v>
      </c>
      <c r="D26" s="1156">
        <v>570.79200000000003</v>
      </c>
      <c r="E26" s="1156">
        <v>513.04399999999998</v>
      </c>
      <c r="F26" s="57">
        <v>520</v>
      </c>
      <c r="G26" s="57">
        <v>450</v>
      </c>
      <c r="H26" s="1156">
        <v>505.73700000000002</v>
      </c>
      <c r="I26" s="57">
        <v>600</v>
      </c>
      <c r="J26" s="57">
        <v>650</v>
      </c>
      <c r="K26" s="57">
        <v>640</v>
      </c>
      <c r="L26" s="99">
        <v>640</v>
      </c>
      <c r="M26" s="1150">
        <v>595.476</v>
      </c>
      <c r="N26" s="175">
        <v>600</v>
      </c>
      <c r="O26" s="175">
        <v>620</v>
      </c>
      <c r="P26" s="175">
        <v>625</v>
      </c>
      <c r="Q26" s="175">
        <v>615</v>
      </c>
      <c r="R26" s="1206">
        <v>582.04100000000005</v>
      </c>
      <c r="S26" s="1206">
        <v>660</v>
      </c>
      <c r="T26" s="1206">
        <v>580</v>
      </c>
      <c r="U26" s="1206">
        <v>570</v>
      </c>
      <c r="V26" s="1206">
        <v>570</v>
      </c>
      <c r="W26" s="1206">
        <v>590</v>
      </c>
      <c r="X26" s="1206">
        <v>615.15700000000004</v>
      </c>
      <c r="Y26" s="1206">
        <v>560</v>
      </c>
      <c r="Z26" s="1206">
        <v>530</v>
      </c>
      <c r="AA26" s="1206">
        <v>530</v>
      </c>
      <c r="AB26" s="1206">
        <v>520</v>
      </c>
      <c r="AC26" s="1206">
        <v>525.577</v>
      </c>
      <c r="AD26" s="175">
        <v>500</v>
      </c>
      <c r="AE26" s="175">
        <v>550</v>
      </c>
      <c r="AF26" s="1034">
        <v>600</v>
      </c>
      <c r="AG26" s="679">
        <v>580</v>
      </c>
      <c r="AH26" s="175">
        <v>508</v>
      </c>
      <c r="AI26" s="1024">
        <v>520</v>
      </c>
      <c r="AJ26" s="1206">
        <v>633.9</v>
      </c>
      <c r="AK26" s="1008"/>
      <c r="AL26" s="1729"/>
      <c r="AM26" s="1403"/>
      <c r="AN26" s="1730"/>
      <c r="AO26" s="1679">
        <v>650</v>
      </c>
      <c r="AP26" s="1582">
        <v>709.7</v>
      </c>
      <c r="AQ26" s="1583">
        <v>670</v>
      </c>
      <c r="AR26" s="1605" t="e">
        <f>#REF!/AO26-1</f>
        <v>#REF!</v>
      </c>
      <c r="AS26" s="749"/>
      <c r="AT26" s="749"/>
    </row>
    <row r="27" spans="1:46" ht="21.75" thickBot="1" x14ac:dyDescent="0.3">
      <c r="A27" s="37" t="s">
        <v>232</v>
      </c>
      <c r="B27" s="105">
        <f>B20+B21+B23+B24</f>
        <v>560.08100000000002</v>
      </c>
      <c r="C27" s="123">
        <f t="shared" ref="C27:AC27" si="8">C20+C21+C23+C24</f>
        <v>440.28399999999999</v>
      </c>
      <c r="D27" s="123">
        <f t="shared" si="8"/>
        <v>625.90400000000011</v>
      </c>
      <c r="E27" s="123">
        <f t="shared" si="8"/>
        <v>678.74600000000021</v>
      </c>
      <c r="F27" s="123">
        <f t="shared" si="8"/>
        <v>733</v>
      </c>
      <c r="G27" s="123">
        <f t="shared" si="8"/>
        <v>665.84500000000003</v>
      </c>
      <c r="H27" s="123">
        <f t="shared" si="8"/>
        <v>681.18600000000038</v>
      </c>
      <c r="I27" s="123">
        <f t="shared" si="8"/>
        <v>810.21799999999996</v>
      </c>
      <c r="J27" s="123">
        <f t="shared" si="8"/>
        <v>855.02299999999991</v>
      </c>
      <c r="K27" s="123">
        <f t="shared" si="8"/>
        <v>853.21299999999997</v>
      </c>
      <c r="L27" s="548">
        <f t="shared" si="8"/>
        <v>851.21799999999996</v>
      </c>
      <c r="M27" s="518">
        <f t="shared" si="8"/>
        <v>854.65800000000036</v>
      </c>
      <c r="N27" s="442">
        <f t="shared" si="8"/>
        <v>780</v>
      </c>
      <c r="O27" s="442">
        <f t="shared" si="8"/>
        <v>800</v>
      </c>
      <c r="P27" s="442">
        <f t="shared" si="8"/>
        <v>791</v>
      </c>
      <c r="Q27" s="442">
        <f t="shared" si="8"/>
        <v>779</v>
      </c>
      <c r="R27" s="442">
        <f t="shared" si="8"/>
        <v>754.55300000000057</v>
      </c>
      <c r="S27" s="442">
        <f t="shared" si="8"/>
        <v>830.44</v>
      </c>
      <c r="T27" s="442">
        <f t="shared" si="8"/>
        <v>735</v>
      </c>
      <c r="U27" s="442">
        <f t="shared" si="8"/>
        <v>711</v>
      </c>
      <c r="V27" s="442">
        <f t="shared" si="8"/>
        <v>720</v>
      </c>
      <c r="W27" s="442">
        <f t="shared" si="8"/>
        <v>736</v>
      </c>
      <c r="X27" s="442">
        <f t="shared" si="8"/>
        <v>734.51400000000058</v>
      </c>
      <c r="Y27" s="442">
        <f t="shared" si="8"/>
        <v>736.678</v>
      </c>
      <c r="Z27" s="442">
        <f t="shared" si="8"/>
        <v>776</v>
      </c>
      <c r="AA27" s="442">
        <f t="shared" si="8"/>
        <v>875</v>
      </c>
      <c r="AB27" s="442">
        <f t="shared" si="8"/>
        <v>877</v>
      </c>
      <c r="AC27" s="442">
        <f t="shared" si="8"/>
        <v>826.27500000000055</v>
      </c>
      <c r="AD27" s="442">
        <v>916</v>
      </c>
      <c r="AE27" s="442">
        <v>925.35699999999997</v>
      </c>
      <c r="AF27" s="442">
        <v>907</v>
      </c>
      <c r="AG27" s="496">
        <f>AG20+AG21+AG23+AG24</f>
        <v>980</v>
      </c>
      <c r="AH27" s="442">
        <f>AH20+AH21+AH23+AH24</f>
        <v>1002</v>
      </c>
      <c r="AI27" s="496">
        <f>AI20+AI21+AI23+AI24</f>
        <v>1033.3500000000006</v>
      </c>
      <c r="AJ27" s="726">
        <f>AJ20+AJ21+AJ23+AJ24</f>
        <v>1052.8430000000005</v>
      </c>
      <c r="AK27" s="496">
        <f>AK20+AK21+AK23+AK24</f>
        <v>489.84000000000003</v>
      </c>
      <c r="AL27" s="1404" t="s">
        <v>234</v>
      </c>
      <c r="AM27" s="1356">
        <f t="shared" ref="AM27:AQ27" si="9">AM20+AM21+AM23+AM24</f>
        <v>362.82500000000061</v>
      </c>
      <c r="AN27" s="757">
        <f t="shared" si="9"/>
        <v>359.00500000000056</v>
      </c>
      <c r="AO27" s="1640">
        <f t="shared" si="9"/>
        <v>1097.2400600000005</v>
      </c>
      <c r="AP27" s="757">
        <f>AP20+AP21+AP23+AP24</f>
        <v>1119.9510000000005</v>
      </c>
      <c r="AQ27" s="757">
        <f t="shared" si="9"/>
        <v>1189.9900600000005</v>
      </c>
      <c r="AR27" s="1588">
        <f>AQ27/AP27-1</f>
        <v>6.2537611020482275E-2</v>
      </c>
    </row>
    <row r="28" spans="1:46" ht="14.25" thickTop="1" thickBot="1" x14ac:dyDescent="0.25">
      <c r="A28" s="603"/>
      <c r="B28" s="2"/>
      <c r="C28" s="124"/>
      <c r="D28" s="124"/>
      <c r="E28" s="125"/>
      <c r="F28" s="126"/>
      <c r="G28" s="126"/>
      <c r="H28" s="126"/>
      <c r="I28" s="126"/>
      <c r="J28" s="126"/>
      <c r="K28" s="126"/>
      <c r="L28" s="126"/>
      <c r="M28" s="564"/>
      <c r="N28" s="531"/>
      <c r="O28" s="531"/>
      <c r="P28" s="531"/>
      <c r="Q28" s="531"/>
      <c r="R28" s="531"/>
      <c r="S28" s="531"/>
      <c r="T28" s="531"/>
      <c r="U28" s="531"/>
      <c r="V28" s="531"/>
      <c r="W28" s="531"/>
      <c r="X28" s="531"/>
      <c r="Y28" s="532"/>
      <c r="Z28" s="531"/>
      <c r="AA28" s="531"/>
      <c r="AB28" s="531"/>
      <c r="AC28" s="531"/>
      <c r="AD28" s="531"/>
      <c r="AE28" s="531"/>
      <c r="AF28" s="531"/>
      <c r="AG28" s="791"/>
      <c r="AH28" s="791"/>
      <c r="AI28" s="791"/>
      <c r="AJ28" s="531"/>
      <c r="AK28" s="791"/>
      <c r="AL28" s="1405"/>
      <c r="AM28" s="1406"/>
      <c r="AN28" s="791"/>
      <c r="AO28" s="1680"/>
      <c r="AP28" s="531"/>
      <c r="AQ28" s="531"/>
      <c r="AR28" s="1584"/>
    </row>
    <row r="29" spans="1:46" ht="18.75" thickTop="1" x14ac:dyDescent="0.25">
      <c r="A29" s="604" t="s">
        <v>5</v>
      </c>
      <c r="B29" s="106"/>
      <c r="C29" s="127"/>
      <c r="D29" s="127"/>
      <c r="E29" s="127"/>
      <c r="F29" s="128"/>
      <c r="G29" s="128"/>
      <c r="H29" s="127"/>
      <c r="I29" s="128"/>
      <c r="J29" s="128"/>
      <c r="K29" s="128"/>
      <c r="L29" s="549"/>
      <c r="M29" s="565"/>
      <c r="N29" s="533"/>
      <c r="O29" s="533"/>
      <c r="P29" s="533"/>
      <c r="Q29" s="533"/>
      <c r="R29" s="533"/>
      <c r="S29" s="533"/>
      <c r="T29" s="533"/>
      <c r="U29" s="533"/>
      <c r="V29" s="533"/>
      <c r="W29" s="533"/>
      <c r="X29" s="533"/>
      <c r="Y29" s="533"/>
      <c r="Z29" s="533"/>
      <c r="AA29" s="533"/>
      <c r="AB29" s="533"/>
      <c r="AC29" s="533"/>
      <c r="AD29" s="533"/>
      <c r="AE29" s="533"/>
      <c r="AF29" s="533"/>
      <c r="AG29" s="792"/>
      <c r="AH29" s="792"/>
      <c r="AI29" s="792"/>
      <c r="AJ29" s="533"/>
      <c r="AK29" s="792"/>
      <c r="AL29" s="1407"/>
      <c r="AM29" s="1408"/>
      <c r="AN29" s="792"/>
      <c r="AO29" s="1681"/>
      <c r="AP29" s="533"/>
      <c r="AQ29" s="533"/>
      <c r="AR29" s="1585"/>
    </row>
    <row r="30" spans="1:46" s="4" customFormat="1" ht="18" x14ac:dyDescent="0.25">
      <c r="A30" s="605"/>
      <c r="B30" s="107"/>
      <c r="C30" s="129"/>
      <c r="D30" s="129"/>
      <c r="E30" s="129"/>
      <c r="F30" s="130"/>
      <c r="G30" s="130"/>
      <c r="H30" s="129"/>
      <c r="I30" s="130"/>
      <c r="J30" s="130"/>
      <c r="K30" s="130"/>
      <c r="L30" s="550"/>
      <c r="M30" s="566"/>
      <c r="N30" s="534"/>
      <c r="O30" s="534"/>
      <c r="P30" s="534"/>
      <c r="Q30" s="534"/>
      <c r="R30" s="534"/>
      <c r="S30" s="534"/>
      <c r="T30" s="534"/>
      <c r="U30" s="534"/>
      <c r="V30" s="534"/>
      <c r="W30" s="534"/>
      <c r="X30" s="534"/>
      <c r="Y30" s="534"/>
      <c r="Z30" s="534"/>
      <c r="AA30" s="534"/>
      <c r="AB30" s="534"/>
      <c r="AC30" s="534"/>
      <c r="AD30" s="534"/>
      <c r="AE30" s="534"/>
      <c r="AF30" s="534"/>
      <c r="AG30" s="793"/>
      <c r="AH30" s="793"/>
      <c r="AI30" s="793"/>
      <c r="AJ30" s="534"/>
      <c r="AK30" s="793"/>
      <c r="AL30" s="1407"/>
      <c r="AM30" s="1408"/>
      <c r="AN30" s="793"/>
      <c r="AO30" s="1681"/>
      <c r="AP30" s="534"/>
      <c r="AQ30" s="534"/>
      <c r="AR30" s="1601"/>
    </row>
    <row r="31" spans="1:46" ht="15" x14ac:dyDescent="0.25">
      <c r="A31" s="98" t="s">
        <v>73</v>
      </c>
      <c r="B31" s="1207">
        <f t="shared" ref="B31:AC31" si="10">B32+B33+B34+B35+B36</f>
        <v>505.39499999999998</v>
      </c>
      <c r="C31" s="1208">
        <f t="shared" si="10"/>
        <v>407.62599999999998</v>
      </c>
      <c r="D31" s="1208">
        <f t="shared" si="10"/>
        <v>600.72299999999996</v>
      </c>
      <c r="E31" s="1208">
        <f t="shared" si="10"/>
        <v>635.44299999999998</v>
      </c>
      <c r="F31" s="1208">
        <f t="shared" si="10"/>
        <v>669</v>
      </c>
      <c r="G31" s="1208">
        <f t="shared" si="10"/>
        <v>619</v>
      </c>
      <c r="H31" s="1208">
        <f t="shared" si="10"/>
        <v>615.32299999999998</v>
      </c>
      <c r="I31" s="131">
        <f t="shared" si="10"/>
        <v>734</v>
      </c>
      <c r="J31" s="131">
        <f t="shared" si="10"/>
        <v>774</v>
      </c>
      <c r="K31" s="131">
        <f t="shared" si="10"/>
        <v>779</v>
      </c>
      <c r="L31" s="551">
        <f t="shared" si="10"/>
        <v>789</v>
      </c>
      <c r="M31" s="535">
        <f t="shared" si="10"/>
        <v>794.38599999999997</v>
      </c>
      <c r="N31" s="536">
        <f t="shared" si="10"/>
        <v>729</v>
      </c>
      <c r="O31" s="536">
        <f t="shared" si="10"/>
        <v>749</v>
      </c>
      <c r="P31" s="536">
        <f t="shared" si="10"/>
        <v>744</v>
      </c>
      <c r="Q31" s="536">
        <f t="shared" si="10"/>
        <v>719</v>
      </c>
      <c r="R31" s="536">
        <f t="shared" si="10"/>
        <v>707.03399999999999</v>
      </c>
      <c r="S31" s="536">
        <f t="shared" si="10"/>
        <v>769</v>
      </c>
      <c r="T31" s="536">
        <f t="shared" si="10"/>
        <v>685</v>
      </c>
      <c r="U31" s="536">
        <f t="shared" si="10"/>
        <v>664</v>
      </c>
      <c r="V31" s="536">
        <f t="shared" si="10"/>
        <v>669</v>
      </c>
      <c r="W31" s="536">
        <f t="shared" si="10"/>
        <v>689</v>
      </c>
      <c r="X31" s="536">
        <f t="shared" si="10"/>
        <v>690.29700000000003</v>
      </c>
      <c r="Y31" s="536">
        <f t="shared" si="10"/>
        <v>690</v>
      </c>
      <c r="Z31" s="536">
        <f t="shared" si="10"/>
        <v>684</v>
      </c>
      <c r="AA31" s="536">
        <f t="shared" si="10"/>
        <v>684</v>
      </c>
      <c r="AB31" s="536">
        <f t="shared" si="10"/>
        <v>724</v>
      </c>
      <c r="AC31" s="536">
        <f t="shared" si="10"/>
        <v>725.82399999999996</v>
      </c>
      <c r="AD31" s="536">
        <v>779</v>
      </c>
      <c r="AE31" s="536">
        <v>785</v>
      </c>
      <c r="AF31" s="536">
        <v>810</v>
      </c>
      <c r="AG31" s="794">
        <f>AG32+AG33+AG34+AG35+AG36</f>
        <v>855</v>
      </c>
      <c r="AH31" s="536">
        <f>AH32+AH33+AH34+AH35+AH36</f>
        <v>855</v>
      </c>
      <c r="AI31" s="794">
        <f>AI32+AI33+AI34+AI35+AI36</f>
        <v>848</v>
      </c>
      <c r="AJ31" s="536">
        <f>AJ32+AJ33+AJ34+AJ35+AJ36</f>
        <v>885.52099999999996</v>
      </c>
      <c r="AK31" s="794">
        <f>AK32+AK33+AK34+AK35+AK36</f>
        <v>218</v>
      </c>
      <c r="AL31" s="1409">
        <f>AL33+AL34+AL35+AL36</f>
        <v>218</v>
      </c>
      <c r="AM31" s="1410">
        <f>AM33+AM34+AM35+AM36</f>
        <v>198</v>
      </c>
      <c r="AN31" s="794">
        <f>AN33+AN34+AN35+AN36</f>
        <v>188</v>
      </c>
      <c r="AO31" s="1682">
        <f>AO32+AO33+AO34+AO35+AO36</f>
        <v>968</v>
      </c>
      <c r="AP31" s="794">
        <f>AP32+AP33+AP34+AP35+AP36</f>
        <v>931.1</v>
      </c>
      <c r="AQ31" s="536">
        <f>AQ32+AQ33+AQ34+AQ35+AQ36</f>
        <v>941</v>
      </c>
      <c r="AR31" s="1606">
        <f t="shared" ref="AR31:AR36" si="11">AQ31/AP31-1</f>
        <v>1.0632585114380921E-2</v>
      </c>
    </row>
    <row r="32" spans="1:46" ht="14.25" x14ac:dyDescent="0.2">
      <c r="A32" s="259" t="s">
        <v>217</v>
      </c>
      <c r="B32" s="1159">
        <v>341.97300000000001</v>
      </c>
      <c r="C32" s="1157">
        <v>256.596</v>
      </c>
      <c r="D32" s="1157">
        <v>481.90199999999999</v>
      </c>
      <c r="E32" s="1157">
        <v>484.30700000000002</v>
      </c>
      <c r="F32" s="113">
        <v>500</v>
      </c>
      <c r="G32" s="113">
        <v>450</v>
      </c>
      <c r="H32" s="1157">
        <v>461.60399999999998</v>
      </c>
      <c r="I32" s="113">
        <v>600</v>
      </c>
      <c r="J32" s="113">
        <v>620</v>
      </c>
      <c r="K32" s="113">
        <v>620</v>
      </c>
      <c r="L32" s="552">
        <v>630</v>
      </c>
      <c r="M32" s="1141">
        <v>632.41399999999999</v>
      </c>
      <c r="N32" s="432">
        <v>580</v>
      </c>
      <c r="O32" s="432">
        <v>600</v>
      </c>
      <c r="P32" s="432">
        <v>600</v>
      </c>
      <c r="Q32" s="432">
        <v>580</v>
      </c>
      <c r="R32" s="1195">
        <v>582</v>
      </c>
      <c r="S32" s="1195">
        <v>620</v>
      </c>
      <c r="T32" s="1195">
        <v>540</v>
      </c>
      <c r="U32" s="1195">
        <v>545</v>
      </c>
      <c r="V32" s="1195">
        <v>545</v>
      </c>
      <c r="W32" s="1195">
        <v>565</v>
      </c>
      <c r="X32" s="1195">
        <v>566</v>
      </c>
      <c r="Y32" s="1195">
        <v>550</v>
      </c>
      <c r="Z32" s="1195">
        <v>530</v>
      </c>
      <c r="AA32" s="1195">
        <v>530</v>
      </c>
      <c r="AB32" s="1195">
        <v>555</v>
      </c>
      <c r="AC32" s="1261">
        <v>560</v>
      </c>
      <c r="AD32" s="1195">
        <v>600</v>
      </c>
      <c r="AE32" s="1195">
        <v>600</v>
      </c>
      <c r="AF32" s="1195">
        <v>615</v>
      </c>
      <c r="AG32" s="1255">
        <v>655</v>
      </c>
      <c r="AH32" s="1261">
        <v>655</v>
      </c>
      <c r="AI32" s="1261">
        <v>655</v>
      </c>
      <c r="AJ32" s="1261">
        <v>678</v>
      </c>
      <c r="AK32" s="1006"/>
      <c r="AL32" s="1411" t="s">
        <v>230</v>
      </c>
      <c r="AM32" s="1412"/>
      <c r="AN32" s="1306"/>
      <c r="AO32" s="1683">
        <v>770</v>
      </c>
      <c r="AP32" s="1545">
        <v>730</v>
      </c>
      <c r="AQ32" s="1511">
        <v>730</v>
      </c>
      <c r="AR32" s="1601">
        <f t="shared" si="11"/>
        <v>0</v>
      </c>
    </row>
    <row r="33" spans="1:46" ht="14.25" x14ac:dyDescent="0.2">
      <c r="A33" s="34" t="s">
        <v>6</v>
      </c>
      <c r="B33" s="1159">
        <v>70.421999999999997</v>
      </c>
      <c r="C33" s="1157">
        <v>58.03</v>
      </c>
      <c r="D33" s="1157">
        <v>45.820999999999998</v>
      </c>
      <c r="E33" s="1157">
        <v>53.136000000000003</v>
      </c>
      <c r="F33" s="113">
        <v>65</v>
      </c>
      <c r="G33" s="113">
        <v>65</v>
      </c>
      <c r="H33" s="1157">
        <v>59.719000000000001</v>
      </c>
      <c r="I33" s="113">
        <v>40</v>
      </c>
      <c r="J33" s="113">
        <v>60</v>
      </c>
      <c r="K33" s="113">
        <v>60</v>
      </c>
      <c r="L33" s="552">
        <v>60</v>
      </c>
      <c r="M33" s="1141">
        <v>62.972000000000001</v>
      </c>
      <c r="N33" s="432">
        <v>60</v>
      </c>
      <c r="O33" s="432">
        <v>60</v>
      </c>
      <c r="P33" s="432">
        <v>55</v>
      </c>
      <c r="Q33" s="432">
        <v>50</v>
      </c>
      <c r="R33" s="1195">
        <v>46.033999999999999</v>
      </c>
      <c r="S33" s="1195">
        <v>50</v>
      </c>
      <c r="T33" s="1195">
        <v>46</v>
      </c>
      <c r="U33" s="1195">
        <v>30</v>
      </c>
      <c r="V33" s="1195">
        <v>35</v>
      </c>
      <c r="W33" s="1195">
        <v>35</v>
      </c>
      <c r="X33" s="1195">
        <v>35.296999999999997</v>
      </c>
      <c r="Y33" s="1195">
        <v>40</v>
      </c>
      <c r="Z33" s="1195">
        <v>45</v>
      </c>
      <c r="AA33" s="1195">
        <v>45</v>
      </c>
      <c r="AB33" s="1195">
        <v>55</v>
      </c>
      <c r="AC33" s="1261">
        <v>51.823999999999998</v>
      </c>
      <c r="AD33" s="1195">
        <v>55</v>
      </c>
      <c r="AE33" s="1195">
        <v>60</v>
      </c>
      <c r="AF33" s="1195">
        <v>65</v>
      </c>
      <c r="AG33" s="1255">
        <v>70</v>
      </c>
      <c r="AH33" s="1261">
        <v>70</v>
      </c>
      <c r="AI33" s="1261">
        <v>70</v>
      </c>
      <c r="AJ33" s="1261">
        <v>64.521000000000001</v>
      </c>
      <c r="AK33" s="858">
        <v>70</v>
      </c>
      <c r="AL33" s="1413">
        <v>70</v>
      </c>
      <c r="AM33" s="1414">
        <v>70</v>
      </c>
      <c r="AN33" s="934">
        <v>60</v>
      </c>
      <c r="AO33" s="1684">
        <v>60</v>
      </c>
      <c r="AP33" s="176">
        <v>63.1</v>
      </c>
      <c r="AQ33" s="176">
        <v>63</v>
      </c>
      <c r="AR33" s="1601">
        <f t="shared" si="11"/>
        <v>-1.5847860538827918E-3</v>
      </c>
    </row>
    <row r="34" spans="1:46" ht="14.25" x14ac:dyDescent="0.2">
      <c r="A34" s="34" t="s">
        <v>14</v>
      </c>
      <c r="B34" s="112">
        <v>55</v>
      </c>
      <c r="C34" s="113">
        <v>35</v>
      </c>
      <c r="D34" s="113">
        <v>35</v>
      </c>
      <c r="E34" s="113">
        <v>45</v>
      </c>
      <c r="F34" s="137">
        <v>50</v>
      </c>
      <c r="G34" s="137">
        <v>50</v>
      </c>
      <c r="H34" s="113">
        <v>45</v>
      </c>
      <c r="I34" s="113">
        <v>40</v>
      </c>
      <c r="J34" s="113">
        <v>40</v>
      </c>
      <c r="K34" s="113">
        <v>45</v>
      </c>
      <c r="L34" s="552">
        <v>45</v>
      </c>
      <c r="M34" s="509">
        <v>45</v>
      </c>
      <c r="N34" s="432">
        <v>35</v>
      </c>
      <c r="O34" s="432">
        <v>35</v>
      </c>
      <c r="P34" s="432">
        <v>35</v>
      </c>
      <c r="Q34" s="432">
        <v>35</v>
      </c>
      <c r="R34" s="432">
        <v>35</v>
      </c>
      <c r="S34" s="432">
        <v>45</v>
      </c>
      <c r="T34" s="432">
        <v>45</v>
      </c>
      <c r="U34" s="432">
        <v>35</v>
      </c>
      <c r="V34" s="432">
        <v>35</v>
      </c>
      <c r="W34" s="432">
        <v>35</v>
      </c>
      <c r="X34" s="432">
        <v>35</v>
      </c>
      <c r="Y34" s="537">
        <v>45</v>
      </c>
      <c r="Z34" s="432">
        <v>55</v>
      </c>
      <c r="AA34" s="432">
        <v>55</v>
      </c>
      <c r="AB34" s="432">
        <v>60</v>
      </c>
      <c r="AC34" s="176">
        <v>60</v>
      </c>
      <c r="AD34" s="432">
        <v>70</v>
      </c>
      <c r="AE34" s="432">
        <v>70</v>
      </c>
      <c r="AF34" s="1041">
        <v>75</v>
      </c>
      <c r="AG34" s="687">
        <v>75</v>
      </c>
      <c r="AH34" s="176">
        <v>75</v>
      </c>
      <c r="AI34" s="1029">
        <v>75</v>
      </c>
      <c r="AJ34" s="176">
        <v>85</v>
      </c>
      <c r="AK34" s="858">
        <v>100</v>
      </c>
      <c r="AL34" s="1413">
        <v>100</v>
      </c>
      <c r="AM34" s="1414">
        <v>80</v>
      </c>
      <c r="AN34" s="934">
        <v>80</v>
      </c>
      <c r="AO34" s="1684">
        <v>80</v>
      </c>
      <c r="AP34" s="934">
        <v>80</v>
      </c>
      <c r="AQ34" s="176">
        <v>85</v>
      </c>
      <c r="AR34" s="1601">
        <f t="shared" si="11"/>
        <v>6.25E-2</v>
      </c>
    </row>
    <row r="35" spans="1:46" ht="14.25" x14ac:dyDescent="0.2">
      <c r="A35" s="34" t="s">
        <v>15</v>
      </c>
      <c r="B35" s="112">
        <v>35</v>
      </c>
      <c r="C35" s="113">
        <v>55</v>
      </c>
      <c r="D35" s="113">
        <v>35</v>
      </c>
      <c r="E35" s="113">
        <v>50</v>
      </c>
      <c r="F35" s="132">
        <v>50</v>
      </c>
      <c r="G35" s="132">
        <v>50</v>
      </c>
      <c r="H35" s="113">
        <v>45</v>
      </c>
      <c r="I35" s="113">
        <v>50</v>
      </c>
      <c r="J35" s="113">
        <v>50</v>
      </c>
      <c r="K35" s="113">
        <v>50</v>
      </c>
      <c r="L35" s="552">
        <v>50</v>
      </c>
      <c r="M35" s="509">
        <v>50</v>
      </c>
      <c r="N35" s="432">
        <v>50</v>
      </c>
      <c r="O35" s="432">
        <v>50</v>
      </c>
      <c r="P35" s="432">
        <v>50</v>
      </c>
      <c r="Q35" s="432">
        <v>50</v>
      </c>
      <c r="R35" s="432">
        <v>40</v>
      </c>
      <c r="S35" s="432">
        <v>50</v>
      </c>
      <c r="T35" s="432">
        <v>50</v>
      </c>
      <c r="U35" s="432">
        <v>50</v>
      </c>
      <c r="V35" s="432">
        <v>50</v>
      </c>
      <c r="W35" s="432">
        <v>50</v>
      </c>
      <c r="X35" s="432">
        <v>50</v>
      </c>
      <c r="Y35" s="537">
        <v>50</v>
      </c>
      <c r="Z35" s="432">
        <v>50</v>
      </c>
      <c r="AA35" s="432">
        <v>50</v>
      </c>
      <c r="AB35" s="432">
        <v>50</v>
      </c>
      <c r="AC35" s="176">
        <v>50</v>
      </c>
      <c r="AD35" s="432">
        <v>50</v>
      </c>
      <c r="AE35" s="432">
        <v>50</v>
      </c>
      <c r="AF35" s="1041">
        <v>50</v>
      </c>
      <c r="AG35" s="687">
        <v>50</v>
      </c>
      <c r="AH35" s="176">
        <v>50</v>
      </c>
      <c r="AI35" s="1029">
        <v>40</v>
      </c>
      <c r="AJ35" s="176">
        <v>50</v>
      </c>
      <c r="AK35" s="858">
        <v>40</v>
      </c>
      <c r="AL35" s="1413">
        <v>40</v>
      </c>
      <c r="AM35" s="1414">
        <v>40</v>
      </c>
      <c r="AN35" s="934">
        <v>40</v>
      </c>
      <c r="AO35" s="1684">
        <v>50</v>
      </c>
      <c r="AP35" s="934">
        <v>50</v>
      </c>
      <c r="AQ35" s="176">
        <v>55</v>
      </c>
      <c r="AR35" s="1601">
        <f t="shared" si="11"/>
        <v>0.10000000000000009</v>
      </c>
    </row>
    <row r="36" spans="1:46" ht="14.25" x14ac:dyDescent="0.2">
      <c r="A36" s="34" t="s">
        <v>7</v>
      </c>
      <c r="B36" s="112">
        <v>3</v>
      </c>
      <c r="C36" s="113">
        <v>3</v>
      </c>
      <c r="D36" s="113">
        <v>3</v>
      </c>
      <c r="E36" s="113">
        <v>3</v>
      </c>
      <c r="F36" s="113">
        <v>4</v>
      </c>
      <c r="G36" s="113">
        <v>4</v>
      </c>
      <c r="H36" s="113">
        <v>4</v>
      </c>
      <c r="I36" s="113">
        <v>4</v>
      </c>
      <c r="J36" s="113">
        <v>4</v>
      </c>
      <c r="K36" s="113">
        <v>4</v>
      </c>
      <c r="L36" s="552">
        <v>4</v>
      </c>
      <c r="M36" s="509">
        <v>4</v>
      </c>
      <c r="N36" s="432">
        <v>4</v>
      </c>
      <c r="O36" s="432">
        <v>4</v>
      </c>
      <c r="P36" s="432">
        <v>4</v>
      </c>
      <c r="Q36" s="432">
        <v>4</v>
      </c>
      <c r="R36" s="432">
        <v>4</v>
      </c>
      <c r="S36" s="432">
        <v>4</v>
      </c>
      <c r="T36" s="432">
        <v>4</v>
      </c>
      <c r="U36" s="432">
        <v>4</v>
      </c>
      <c r="V36" s="432">
        <v>4</v>
      </c>
      <c r="W36" s="432">
        <v>4</v>
      </c>
      <c r="X36" s="432">
        <v>4</v>
      </c>
      <c r="Y36" s="537">
        <v>5</v>
      </c>
      <c r="Z36" s="432">
        <v>4</v>
      </c>
      <c r="AA36" s="432">
        <v>4</v>
      </c>
      <c r="AB36" s="432">
        <v>4</v>
      </c>
      <c r="AC36" s="176">
        <v>4</v>
      </c>
      <c r="AD36" s="432">
        <v>4</v>
      </c>
      <c r="AE36" s="432">
        <v>5</v>
      </c>
      <c r="AF36" s="1041">
        <v>5</v>
      </c>
      <c r="AG36" s="687">
        <v>5</v>
      </c>
      <c r="AH36" s="176">
        <v>5</v>
      </c>
      <c r="AI36" s="1029">
        <v>8</v>
      </c>
      <c r="AJ36" s="176">
        <v>8</v>
      </c>
      <c r="AK36" s="858">
        <v>8</v>
      </c>
      <c r="AL36" s="1413">
        <v>8</v>
      </c>
      <c r="AM36" s="1414">
        <v>8</v>
      </c>
      <c r="AN36" s="934">
        <v>8</v>
      </c>
      <c r="AO36" s="1684">
        <v>8</v>
      </c>
      <c r="AP36" s="934">
        <v>8</v>
      </c>
      <c r="AQ36" s="176">
        <v>8</v>
      </c>
      <c r="AR36" s="1601">
        <f t="shared" si="11"/>
        <v>0</v>
      </c>
    </row>
    <row r="37" spans="1:46" ht="14.25" x14ac:dyDescent="0.2">
      <c r="A37" s="34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552"/>
      <c r="M37" s="509"/>
      <c r="N37" s="432"/>
      <c r="O37" s="432"/>
      <c r="P37" s="432"/>
      <c r="Q37" s="432"/>
      <c r="R37" s="432"/>
      <c r="S37" s="432"/>
      <c r="T37" s="432"/>
      <c r="U37" s="432"/>
      <c r="V37" s="432"/>
      <c r="W37" s="432"/>
      <c r="X37" s="432"/>
      <c r="Y37" s="537"/>
      <c r="Z37" s="432"/>
      <c r="AA37" s="432"/>
      <c r="AB37" s="432"/>
      <c r="AC37" s="432"/>
      <c r="AD37" s="432"/>
      <c r="AE37" s="432"/>
      <c r="AF37" s="1041"/>
      <c r="AG37" s="687"/>
      <c r="AH37" s="432"/>
      <c r="AI37" s="1027"/>
      <c r="AJ37" s="432"/>
      <c r="AK37" s="858"/>
      <c r="AL37" s="1357"/>
      <c r="AM37" s="1006"/>
      <c r="AN37" s="687"/>
      <c r="AO37" s="1632"/>
      <c r="AP37" s="432"/>
      <c r="AQ37" s="432"/>
      <c r="AR37" s="1584"/>
    </row>
    <row r="38" spans="1:46" ht="15" x14ac:dyDescent="0.25">
      <c r="A38" s="98" t="s">
        <v>9</v>
      </c>
      <c r="B38" s="108">
        <f t="shared" ref="B38:AJ38" si="12">B39+B40</f>
        <v>29.254999999999999</v>
      </c>
      <c r="C38" s="100">
        <f t="shared" si="12"/>
        <v>9.1720000000000006</v>
      </c>
      <c r="D38" s="100">
        <f t="shared" si="12"/>
        <v>6.0249999999999995</v>
      </c>
      <c r="E38" s="100">
        <f t="shared" si="12"/>
        <v>26.794999999999998</v>
      </c>
      <c r="F38" s="100">
        <f t="shared" si="12"/>
        <v>25</v>
      </c>
      <c r="G38" s="100">
        <f t="shared" si="12"/>
        <v>30</v>
      </c>
      <c r="H38" s="100">
        <f t="shared" si="12"/>
        <v>30.913</v>
      </c>
      <c r="I38" s="100">
        <f t="shared" si="12"/>
        <v>25</v>
      </c>
      <c r="J38" s="100">
        <f t="shared" si="12"/>
        <v>23</v>
      </c>
      <c r="K38" s="100">
        <f t="shared" si="12"/>
        <v>21</v>
      </c>
      <c r="L38" s="553">
        <f t="shared" si="12"/>
        <v>28</v>
      </c>
      <c r="M38" s="563">
        <f t="shared" si="12"/>
        <v>35.154000000000003</v>
      </c>
      <c r="N38" s="530">
        <f t="shared" si="12"/>
        <v>25</v>
      </c>
      <c r="O38" s="530">
        <f t="shared" si="12"/>
        <v>25</v>
      </c>
      <c r="P38" s="530">
        <f t="shared" si="12"/>
        <v>30</v>
      </c>
      <c r="Q38" s="530">
        <f t="shared" si="12"/>
        <v>30</v>
      </c>
      <c r="R38" s="530">
        <f t="shared" si="12"/>
        <v>28.959000000000003</v>
      </c>
      <c r="S38" s="530">
        <f t="shared" si="12"/>
        <v>35</v>
      </c>
      <c r="T38" s="530">
        <f t="shared" si="12"/>
        <v>30</v>
      </c>
      <c r="U38" s="530">
        <f t="shared" si="12"/>
        <v>25</v>
      </c>
      <c r="V38" s="530">
        <f t="shared" si="12"/>
        <v>21</v>
      </c>
      <c r="W38" s="530">
        <f t="shared" si="12"/>
        <v>23</v>
      </c>
      <c r="X38" s="530">
        <f t="shared" si="12"/>
        <v>24.509999999999998</v>
      </c>
      <c r="Y38" s="530">
        <f t="shared" si="12"/>
        <v>26</v>
      </c>
      <c r="Z38" s="530">
        <f t="shared" si="12"/>
        <v>33</v>
      </c>
      <c r="AA38" s="530">
        <f t="shared" si="12"/>
        <v>33</v>
      </c>
      <c r="AB38" s="530">
        <f t="shared" si="12"/>
        <v>50</v>
      </c>
      <c r="AC38" s="530">
        <f t="shared" si="12"/>
        <v>53.100999999999999</v>
      </c>
      <c r="AD38" s="530">
        <f t="shared" si="12"/>
        <v>50</v>
      </c>
      <c r="AE38" s="530">
        <f t="shared" si="12"/>
        <v>60</v>
      </c>
      <c r="AF38" s="530">
        <f t="shared" si="12"/>
        <v>70</v>
      </c>
      <c r="AG38" s="756">
        <f t="shared" si="12"/>
        <v>65</v>
      </c>
      <c r="AH38" s="530">
        <f t="shared" si="12"/>
        <v>75</v>
      </c>
      <c r="AI38" s="756">
        <f t="shared" si="12"/>
        <v>80</v>
      </c>
      <c r="AJ38" s="530">
        <f t="shared" si="12"/>
        <v>96.097000000000008</v>
      </c>
      <c r="AK38" s="756">
        <f t="shared" ref="AK38:AQ38" si="13">AK39+AK40</f>
        <v>100</v>
      </c>
      <c r="AL38" s="1352">
        <f t="shared" si="13"/>
        <v>100</v>
      </c>
      <c r="AM38" s="1007">
        <f t="shared" si="13"/>
        <v>110</v>
      </c>
      <c r="AN38" s="756">
        <f t="shared" si="13"/>
        <v>105</v>
      </c>
      <c r="AO38" s="1635">
        <f t="shared" si="13"/>
        <v>90</v>
      </c>
      <c r="AP38" s="756">
        <f>AP39+AP40</f>
        <v>86</v>
      </c>
      <c r="AQ38" s="530">
        <f t="shared" si="13"/>
        <v>135</v>
      </c>
      <c r="AR38" s="1606">
        <f>AQ38/AP38-1</f>
        <v>0.56976744186046502</v>
      </c>
    </row>
    <row r="39" spans="1:46" ht="14.25" x14ac:dyDescent="0.2">
      <c r="A39" s="34" t="s">
        <v>10</v>
      </c>
      <c r="B39" s="1159">
        <v>24.099</v>
      </c>
      <c r="C39" s="1157">
        <v>8.0709999999999997</v>
      </c>
      <c r="D39" s="1157">
        <v>4.1429999999999998</v>
      </c>
      <c r="E39" s="1157">
        <v>20.213999999999999</v>
      </c>
      <c r="F39" s="113">
        <v>20</v>
      </c>
      <c r="G39" s="113">
        <v>20</v>
      </c>
      <c r="H39" s="1157">
        <v>22.122</v>
      </c>
      <c r="I39" s="113">
        <v>15</v>
      </c>
      <c r="J39" s="113">
        <v>15</v>
      </c>
      <c r="K39" s="113">
        <v>15</v>
      </c>
      <c r="L39" s="552">
        <v>20</v>
      </c>
      <c r="M39" s="1141">
        <v>27.428000000000001</v>
      </c>
      <c r="N39" s="432">
        <v>20</v>
      </c>
      <c r="O39" s="432">
        <v>20</v>
      </c>
      <c r="P39" s="432">
        <v>20</v>
      </c>
      <c r="Q39" s="432">
        <v>20</v>
      </c>
      <c r="R39" s="1195">
        <v>20.812000000000001</v>
      </c>
      <c r="S39" s="1195">
        <v>25</v>
      </c>
      <c r="T39" s="1195">
        <v>20</v>
      </c>
      <c r="U39" s="1195">
        <v>15</v>
      </c>
      <c r="V39" s="1195">
        <v>15</v>
      </c>
      <c r="W39" s="1195">
        <v>17</v>
      </c>
      <c r="X39" s="1195">
        <v>19.273</v>
      </c>
      <c r="Y39" s="1195">
        <v>20</v>
      </c>
      <c r="Z39" s="1195">
        <v>25</v>
      </c>
      <c r="AA39" s="1195">
        <v>25</v>
      </c>
      <c r="AB39" s="1195">
        <v>43</v>
      </c>
      <c r="AC39" s="1195">
        <v>45.838999999999999</v>
      </c>
      <c r="AD39" s="432">
        <v>40</v>
      </c>
      <c r="AE39" s="432">
        <v>50</v>
      </c>
      <c r="AF39" s="1041">
        <v>60</v>
      </c>
      <c r="AG39" s="687">
        <v>55</v>
      </c>
      <c r="AH39" s="432">
        <v>65</v>
      </c>
      <c r="AI39" s="1027">
        <v>70</v>
      </c>
      <c r="AJ39" s="1195">
        <v>87.444000000000003</v>
      </c>
      <c r="AK39" s="858">
        <v>90</v>
      </c>
      <c r="AL39" s="1357">
        <v>90</v>
      </c>
      <c r="AM39" s="1006">
        <v>100</v>
      </c>
      <c r="AN39" s="687">
        <v>95</v>
      </c>
      <c r="AO39" s="1632">
        <v>80</v>
      </c>
      <c r="AP39" s="432">
        <v>77</v>
      </c>
      <c r="AQ39" s="432">
        <v>125</v>
      </c>
      <c r="AR39" s="1584"/>
      <c r="AT39" s="1544"/>
    </row>
    <row r="40" spans="1:46" ht="14.25" x14ac:dyDescent="0.2">
      <c r="A40" s="34" t="s">
        <v>3</v>
      </c>
      <c r="B40" s="1213">
        <v>5.1559999999999997</v>
      </c>
      <c r="C40" s="1158">
        <v>1.101</v>
      </c>
      <c r="D40" s="1158">
        <v>1.8819999999999999</v>
      </c>
      <c r="E40" s="1158">
        <v>6.5810000000000004</v>
      </c>
      <c r="F40" s="133">
        <v>5</v>
      </c>
      <c r="G40" s="133">
        <v>10</v>
      </c>
      <c r="H40" s="1158">
        <v>8.7910000000000004</v>
      </c>
      <c r="I40" s="133">
        <v>10</v>
      </c>
      <c r="J40" s="133">
        <v>8</v>
      </c>
      <c r="K40" s="133">
        <v>6</v>
      </c>
      <c r="L40" s="554">
        <v>8</v>
      </c>
      <c r="M40" s="1150">
        <v>7.726</v>
      </c>
      <c r="N40" s="175">
        <v>5</v>
      </c>
      <c r="O40" s="175">
        <v>5</v>
      </c>
      <c r="P40" s="175">
        <v>10</v>
      </c>
      <c r="Q40" s="175">
        <v>10</v>
      </c>
      <c r="R40" s="1206">
        <v>8.1470000000000002</v>
      </c>
      <c r="S40" s="1206">
        <v>10</v>
      </c>
      <c r="T40" s="1206">
        <v>10</v>
      </c>
      <c r="U40" s="1206">
        <v>10</v>
      </c>
      <c r="V40" s="1206">
        <v>6</v>
      </c>
      <c r="W40" s="1206">
        <v>6</v>
      </c>
      <c r="X40" s="1206">
        <v>5.2370000000000001</v>
      </c>
      <c r="Y40" s="1206">
        <v>6</v>
      </c>
      <c r="Z40" s="1206">
        <v>8</v>
      </c>
      <c r="AA40" s="1206">
        <v>8</v>
      </c>
      <c r="AB40" s="1206">
        <v>7</v>
      </c>
      <c r="AC40" s="1206">
        <v>7.2619999999999996</v>
      </c>
      <c r="AD40" s="175">
        <v>10</v>
      </c>
      <c r="AE40" s="175">
        <v>10</v>
      </c>
      <c r="AF40" s="1034">
        <v>10</v>
      </c>
      <c r="AG40" s="679">
        <v>10</v>
      </c>
      <c r="AH40" s="175">
        <v>10</v>
      </c>
      <c r="AI40" s="1024">
        <v>10</v>
      </c>
      <c r="AJ40" s="1206">
        <v>8.6530000000000005</v>
      </c>
      <c r="AK40" s="865">
        <v>10</v>
      </c>
      <c r="AL40" s="1346">
        <v>10</v>
      </c>
      <c r="AM40" s="1347">
        <v>10</v>
      </c>
      <c r="AN40" s="679">
        <v>10</v>
      </c>
      <c r="AO40" s="1629">
        <v>10</v>
      </c>
      <c r="AP40" s="175">
        <v>9</v>
      </c>
      <c r="AQ40" s="175">
        <v>10</v>
      </c>
      <c r="AR40" s="1584"/>
      <c r="AT40" s="1544"/>
    </row>
    <row r="41" spans="1:46" ht="21.75" thickBot="1" x14ac:dyDescent="0.3">
      <c r="A41" s="37" t="s">
        <v>74</v>
      </c>
      <c r="B41" s="38">
        <f t="shared" ref="B41:AC41" si="14">B31+B38</f>
        <v>534.65</v>
      </c>
      <c r="C41" s="134">
        <f t="shared" si="14"/>
        <v>416.798</v>
      </c>
      <c r="D41" s="134">
        <f t="shared" si="14"/>
        <v>606.74799999999993</v>
      </c>
      <c r="E41" s="134">
        <f t="shared" si="14"/>
        <v>662.23799999999994</v>
      </c>
      <c r="F41" s="134">
        <f t="shared" si="14"/>
        <v>694</v>
      </c>
      <c r="G41" s="134">
        <f t="shared" si="14"/>
        <v>649</v>
      </c>
      <c r="H41" s="134">
        <f t="shared" si="14"/>
        <v>646.23599999999999</v>
      </c>
      <c r="I41" s="134">
        <f t="shared" si="14"/>
        <v>759</v>
      </c>
      <c r="J41" s="134">
        <f t="shared" si="14"/>
        <v>797</v>
      </c>
      <c r="K41" s="134">
        <f t="shared" si="14"/>
        <v>800</v>
      </c>
      <c r="L41" s="555">
        <f t="shared" si="14"/>
        <v>817</v>
      </c>
      <c r="M41" s="518">
        <f t="shared" si="14"/>
        <v>829.54</v>
      </c>
      <c r="N41" s="442">
        <f t="shared" si="14"/>
        <v>754</v>
      </c>
      <c r="O41" s="442">
        <f t="shared" si="14"/>
        <v>774</v>
      </c>
      <c r="P41" s="442">
        <f t="shared" si="14"/>
        <v>774</v>
      </c>
      <c r="Q41" s="442">
        <f t="shared" si="14"/>
        <v>749</v>
      </c>
      <c r="R41" s="442">
        <f t="shared" si="14"/>
        <v>735.99299999999994</v>
      </c>
      <c r="S41" s="442">
        <f t="shared" si="14"/>
        <v>804</v>
      </c>
      <c r="T41" s="442">
        <f t="shared" si="14"/>
        <v>715</v>
      </c>
      <c r="U41" s="442">
        <f t="shared" si="14"/>
        <v>689</v>
      </c>
      <c r="V41" s="442">
        <f t="shared" si="14"/>
        <v>690</v>
      </c>
      <c r="W41" s="442">
        <f t="shared" si="14"/>
        <v>712</v>
      </c>
      <c r="X41" s="442">
        <f t="shared" si="14"/>
        <v>714.80700000000002</v>
      </c>
      <c r="Y41" s="442">
        <f t="shared" si="14"/>
        <v>716</v>
      </c>
      <c r="Z41" s="442">
        <f t="shared" si="14"/>
        <v>717</v>
      </c>
      <c r="AA41" s="442">
        <f t="shared" si="14"/>
        <v>717</v>
      </c>
      <c r="AB41" s="442">
        <f t="shared" si="14"/>
        <v>774</v>
      </c>
      <c r="AC41" s="442">
        <f t="shared" si="14"/>
        <v>778.92499999999995</v>
      </c>
      <c r="AD41" s="442">
        <v>829</v>
      </c>
      <c r="AE41" s="442">
        <v>845</v>
      </c>
      <c r="AF41" s="442">
        <v>880</v>
      </c>
      <c r="AG41" s="496">
        <f>AG31+AG38</f>
        <v>920</v>
      </c>
      <c r="AH41" s="442">
        <f>AH31+AH38</f>
        <v>930</v>
      </c>
      <c r="AI41" s="496">
        <f>AI31+AI38</f>
        <v>928</v>
      </c>
      <c r="AJ41" s="442">
        <f>AJ31+AJ38</f>
        <v>981.61799999999994</v>
      </c>
      <c r="AK41" s="496">
        <f>AK31+AK38</f>
        <v>318</v>
      </c>
      <c r="AL41" s="1404" t="s">
        <v>233</v>
      </c>
      <c r="AM41" s="1415">
        <f t="shared" ref="AM41:AQ41" si="15">AM31+AM38</f>
        <v>308</v>
      </c>
      <c r="AN41" s="684">
        <f t="shared" si="15"/>
        <v>293</v>
      </c>
      <c r="AO41" s="1685">
        <f t="shared" si="15"/>
        <v>1058</v>
      </c>
      <c r="AP41" s="684">
        <f>AP31+AP38</f>
        <v>1017.1</v>
      </c>
      <c r="AQ41" s="644">
        <f t="shared" si="15"/>
        <v>1076</v>
      </c>
      <c r="AR41" s="1607">
        <f>AQ41/AP41-1</f>
        <v>5.7909743388063983E-2</v>
      </c>
    </row>
    <row r="42" spans="1:46" ht="14.25" thickTop="1" thickBot="1" x14ac:dyDescent="0.25">
      <c r="A42" s="90"/>
      <c r="B42" s="101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567"/>
      <c r="N42" s="539"/>
      <c r="O42" s="539"/>
      <c r="P42" s="539"/>
      <c r="Q42" s="539"/>
      <c r="R42" s="539"/>
      <c r="S42" s="539"/>
      <c r="T42" s="539"/>
      <c r="U42" s="539"/>
      <c r="V42" s="539"/>
      <c r="W42" s="539"/>
      <c r="X42" s="539"/>
      <c r="Y42" s="540"/>
      <c r="Z42" s="539"/>
      <c r="AA42" s="539"/>
      <c r="AB42" s="539"/>
      <c r="AC42" s="539"/>
      <c r="AD42" s="539"/>
      <c r="AE42" s="534"/>
      <c r="AF42" s="534"/>
      <c r="AG42" s="793"/>
      <c r="AH42" s="793"/>
      <c r="AI42" s="793"/>
      <c r="AJ42" s="539"/>
      <c r="AK42" s="793"/>
      <c r="AL42" s="1416"/>
      <c r="AM42" s="1417"/>
      <c r="AN42" s="1307"/>
      <c r="AO42" s="1686"/>
      <c r="AP42" s="539"/>
      <c r="AQ42" s="539"/>
      <c r="AR42" s="1584"/>
    </row>
    <row r="43" spans="1:46" ht="21.75" thickTop="1" x14ac:dyDescent="0.25">
      <c r="A43" s="151" t="s">
        <v>182</v>
      </c>
      <c r="B43" s="109">
        <f t="shared" ref="B43:AJ43" si="16">B27-B41</f>
        <v>25.43100000000004</v>
      </c>
      <c r="C43" s="136">
        <f t="shared" si="16"/>
        <v>23.48599999999999</v>
      </c>
      <c r="D43" s="136">
        <f t="shared" si="16"/>
        <v>19.156000000000176</v>
      </c>
      <c r="E43" s="136">
        <f t="shared" si="16"/>
        <v>16.508000000000266</v>
      </c>
      <c r="F43" s="136">
        <f t="shared" si="16"/>
        <v>39</v>
      </c>
      <c r="G43" s="136">
        <f t="shared" si="16"/>
        <v>16.845000000000027</v>
      </c>
      <c r="H43" s="136">
        <f t="shared" si="16"/>
        <v>34.950000000000387</v>
      </c>
      <c r="I43" s="136">
        <f t="shared" si="16"/>
        <v>51.217999999999961</v>
      </c>
      <c r="J43" s="136">
        <f t="shared" si="16"/>
        <v>58.022999999999911</v>
      </c>
      <c r="K43" s="136">
        <f t="shared" si="16"/>
        <v>53.212999999999965</v>
      </c>
      <c r="L43" s="556">
        <f t="shared" si="16"/>
        <v>34.217999999999961</v>
      </c>
      <c r="M43" s="518">
        <f t="shared" si="16"/>
        <v>25.118000000000393</v>
      </c>
      <c r="N43" s="442">
        <f t="shared" si="16"/>
        <v>26</v>
      </c>
      <c r="O43" s="442">
        <f t="shared" si="16"/>
        <v>26</v>
      </c>
      <c r="P43" s="442">
        <f t="shared" si="16"/>
        <v>17</v>
      </c>
      <c r="Q43" s="442">
        <f t="shared" si="16"/>
        <v>30</v>
      </c>
      <c r="R43" s="442">
        <f t="shared" si="16"/>
        <v>18.560000000000628</v>
      </c>
      <c r="S43" s="442">
        <f t="shared" si="16"/>
        <v>26.440000000000055</v>
      </c>
      <c r="T43" s="442">
        <f t="shared" si="16"/>
        <v>20</v>
      </c>
      <c r="U43" s="442">
        <f t="shared" si="16"/>
        <v>22</v>
      </c>
      <c r="V43" s="442">
        <f t="shared" si="16"/>
        <v>30</v>
      </c>
      <c r="W43" s="442">
        <f t="shared" si="16"/>
        <v>24</v>
      </c>
      <c r="X43" s="442">
        <f t="shared" si="16"/>
        <v>19.707000000000562</v>
      </c>
      <c r="Y43" s="442">
        <f t="shared" si="16"/>
        <v>20.677999999999997</v>
      </c>
      <c r="Z43" s="442">
        <f t="shared" si="16"/>
        <v>59</v>
      </c>
      <c r="AA43" s="442">
        <f t="shared" si="16"/>
        <v>158</v>
      </c>
      <c r="AB43" s="442">
        <f t="shared" si="16"/>
        <v>103</v>
      </c>
      <c r="AC43" s="442">
        <f t="shared" si="16"/>
        <v>47.350000000000591</v>
      </c>
      <c r="AD43" s="442">
        <f t="shared" si="16"/>
        <v>87</v>
      </c>
      <c r="AE43" s="442">
        <f t="shared" si="16"/>
        <v>80.356999999999971</v>
      </c>
      <c r="AF43" s="442">
        <f t="shared" si="16"/>
        <v>27</v>
      </c>
      <c r="AG43" s="496">
        <f t="shared" si="16"/>
        <v>60</v>
      </c>
      <c r="AH43" s="496">
        <f t="shared" si="16"/>
        <v>72</v>
      </c>
      <c r="AI43" s="496">
        <f t="shared" si="16"/>
        <v>105.35000000000059</v>
      </c>
      <c r="AJ43" s="442">
        <f t="shared" si="16"/>
        <v>71.225000000000591</v>
      </c>
      <c r="AK43" s="496">
        <f>AK27-AK41</f>
        <v>171.84000000000003</v>
      </c>
      <c r="AL43" s="1360">
        <v>72</v>
      </c>
      <c r="AM43" s="1382">
        <f t="shared" ref="AM43:AQ43" si="17">AM27-AM41</f>
        <v>54.825000000000614</v>
      </c>
      <c r="AN43" s="496">
        <f t="shared" si="17"/>
        <v>66.005000000000564</v>
      </c>
      <c r="AO43" s="1666">
        <f t="shared" si="17"/>
        <v>39.24006000000054</v>
      </c>
      <c r="AP43" s="496">
        <f>AP27-AP41</f>
        <v>102.85100000000045</v>
      </c>
      <c r="AQ43" s="442">
        <f t="shared" si="17"/>
        <v>113.99006000000054</v>
      </c>
      <c r="AR43" s="1607">
        <f>AQ43/AP43-1</f>
        <v>0.10830288475561778</v>
      </c>
    </row>
    <row r="44" spans="1:46" ht="14.25" x14ac:dyDescent="0.2">
      <c r="A44" s="34" t="s">
        <v>11</v>
      </c>
      <c r="B44" s="1159">
        <v>22.437000000000001</v>
      </c>
      <c r="C44" s="1159">
        <v>20.187000000000001</v>
      </c>
      <c r="D44" s="1159">
        <v>16.46</v>
      </c>
      <c r="E44" s="1159">
        <v>14.105</v>
      </c>
      <c r="F44" s="112"/>
      <c r="G44" s="112"/>
      <c r="H44" s="1159">
        <v>33.118000000000002</v>
      </c>
      <c r="I44" s="112"/>
      <c r="J44" s="112"/>
      <c r="K44" s="112"/>
      <c r="L44" s="557"/>
      <c r="M44" s="1141">
        <v>22.059000000000001</v>
      </c>
      <c r="N44" s="432"/>
      <c r="O44" s="432"/>
      <c r="P44" s="432"/>
      <c r="Q44" s="432"/>
      <c r="R44" s="1195">
        <v>14.913</v>
      </c>
      <c r="S44" s="1195"/>
      <c r="T44" s="1195"/>
      <c r="U44" s="1195"/>
      <c r="V44" s="1195"/>
      <c r="W44" s="1195"/>
      <c r="X44" s="1195">
        <v>17.98</v>
      </c>
      <c r="Y44" s="1195"/>
      <c r="Z44" s="1195"/>
      <c r="AA44" s="1195"/>
      <c r="AB44" s="1195"/>
      <c r="AC44" s="1195">
        <v>43.93</v>
      </c>
      <c r="AD44" s="1195"/>
      <c r="AE44" s="1195"/>
      <c r="AF44" s="1195"/>
      <c r="AG44" s="1255"/>
      <c r="AH44" s="1195"/>
      <c r="AI44" s="1195"/>
      <c r="AJ44" s="1195">
        <v>40.618000000000002</v>
      </c>
      <c r="AK44" s="858"/>
      <c r="AL44" s="1357"/>
      <c r="AM44" s="1006"/>
      <c r="AN44" s="687"/>
      <c r="AO44" s="1632"/>
      <c r="AP44" s="432">
        <v>58</v>
      </c>
      <c r="AQ44" s="432"/>
      <c r="AR44" s="1584"/>
    </row>
    <row r="45" spans="1:46" ht="14.25" x14ac:dyDescent="0.2">
      <c r="A45" s="34" t="s">
        <v>12</v>
      </c>
      <c r="B45" s="1159">
        <v>3.214</v>
      </c>
      <c r="C45" s="1159">
        <v>2.6030000000000002</v>
      </c>
      <c r="D45" s="1159">
        <v>2.516</v>
      </c>
      <c r="E45" s="1159">
        <v>2.6970000000000001</v>
      </c>
      <c r="F45" s="112"/>
      <c r="G45" s="112"/>
      <c r="H45" s="1159">
        <v>2.3530000000000002</v>
      </c>
      <c r="I45" s="112"/>
      <c r="J45" s="112"/>
      <c r="K45" s="112"/>
      <c r="L45" s="557"/>
      <c r="M45" s="1141">
        <v>3.2210000000000001</v>
      </c>
      <c r="N45" s="432"/>
      <c r="O45" s="432"/>
      <c r="P45" s="432"/>
      <c r="Q45" s="432"/>
      <c r="R45" s="1195">
        <v>3.56</v>
      </c>
      <c r="S45" s="1195"/>
      <c r="T45" s="1195"/>
      <c r="U45" s="1195"/>
      <c r="V45" s="1195"/>
      <c r="W45" s="1195"/>
      <c r="X45" s="1195">
        <v>1.7929999999999999</v>
      </c>
      <c r="Y45" s="1195"/>
      <c r="Z45" s="1195"/>
      <c r="AA45" s="1195"/>
      <c r="AB45" s="1195"/>
      <c r="AC45" s="1195">
        <v>2.6309999999999998</v>
      </c>
      <c r="AD45" s="1195"/>
      <c r="AE45" s="1195"/>
      <c r="AF45" s="1195"/>
      <c r="AG45" s="1255"/>
      <c r="AH45" s="1195"/>
      <c r="AI45" s="1195"/>
      <c r="AJ45" s="1195">
        <v>3.8119999999999998</v>
      </c>
      <c r="AK45" s="858"/>
      <c r="AL45" s="1357"/>
      <c r="AM45" s="1006"/>
      <c r="AN45" s="687"/>
      <c r="AO45" s="1632"/>
      <c r="AP45" s="432">
        <v>4.7</v>
      </c>
      <c r="AQ45" s="432"/>
      <c r="AR45" s="1584"/>
    </row>
    <row r="46" spans="1:46" ht="14.25" x14ac:dyDescent="0.2">
      <c r="A46" s="34" t="s">
        <v>13</v>
      </c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557"/>
      <c r="M46" s="509"/>
      <c r="N46" s="432"/>
      <c r="O46" s="432"/>
      <c r="P46" s="432"/>
      <c r="Q46" s="432"/>
      <c r="R46" s="432"/>
      <c r="S46" s="432"/>
      <c r="T46" s="432"/>
      <c r="U46" s="432"/>
      <c r="V46" s="432"/>
      <c r="W46" s="432"/>
      <c r="X46" s="432"/>
      <c r="Y46" s="432"/>
      <c r="Z46" s="432"/>
      <c r="AA46" s="432"/>
      <c r="AB46" s="432"/>
      <c r="AC46" s="432"/>
      <c r="AD46" s="432"/>
      <c r="AE46" s="432"/>
      <c r="AF46" s="1041"/>
      <c r="AG46" s="687"/>
      <c r="AH46" s="432"/>
      <c r="AI46" s="432"/>
      <c r="AJ46" s="432">
        <v>25</v>
      </c>
      <c r="AK46" s="858"/>
      <c r="AL46" s="1357"/>
      <c r="AM46" s="1006"/>
      <c r="AN46" s="687"/>
      <c r="AO46" s="1632"/>
      <c r="AP46" s="1749"/>
      <c r="AQ46" s="432"/>
      <c r="AR46" s="1584"/>
    </row>
    <row r="47" spans="1:46" ht="14.25" x14ac:dyDescent="0.2">
      <c r="A47" s="706" t="s">
        <v>176</v>
      </c>
      <c r="B47" s="607">
        <v>6.4150943396226415E-2</v>
      </c>
      <c r="C47" s="607">
        <v>7.8356533453075708E-2</v>
      </c>
      <c r="D47" s="607">
        <v>4.9926362297496286E-2</v>
      </c>
      <c r="E47" s="607">
        <v>5.1548338368580061E-2</v>
      </c>
      <c r="F47" s="607">
        <v>5.6195965417867436E-2</v>
      </c>
      <c r="G47" s="607">
        <v>2.595531587057015E-2</v>
      </c>
      <c r="H47" s="607">
        <v>9.0090898680622755E-2</v>
      </c>
      <c r="I47" s="607">
        <v>6.7480895915678477E-2</v>
      </c>
      <c r="J47" s="607">
        <v>7.2801756587202032E-2</v>
      </c>
      <c r="K47" s="607">
        <v>6.6516249999999957E-2</v>
      </c>
      <c r="L47" s="608">
        <v>4.1882496940024432E-2</v>
      </c>
      <c r="M47" s="704">
        <v>4.0963855421686748E-2</v>
      </c>
      <c r="N47" s="705">
        <v>3.4482758620689655E-2</v>
      </c>
      <c r="O47" s="705">
        <v>3.3591731266149873E-2</v>
      </c>
      <c r="P47" s="705">
        <v>2.1963824289405683E-2</v>
      </c>
      <c r="Q47" s="705">
        <v>4.0053404539385849E-2</v>
      </c>
      <c r="R47" s="705">
        <v>2.8532608695652172E-2</v>
      </c>
      <c r="S47" s="705"/>
      <c r="T47" s="705">
        <v>2.7972027972027972E-2</v>
      </c>
      <c r="U47" s="705">
        <v>3.1930333817126268E-2</v>
      </c>
      <c r="V47" s="705"/>
      <c r="W47" s="705">
        <v>3.3707865168539325E-2</v>
      </c>
      <c r="X47" s="705">
        <v>6.3202247191011238E-2</v>
      </c>
      <c r="Y47" s="705">
        <v>2.887988826815642E-2</v>
      </c>
      <c r="Z47" s="705"/>
      <c r="AA47" s="705">
        <v>0.2203626220362622</v>
      </c>
      <c r="AB47" s="705">
        <v>0.13307493540051679</v>
      </c>
      <c r="AC47" s="705">
        <v>0.10654685494223363</v>
      </c>
      <c r="AD47" s="705">
        <v>0.10494571773220748</v>
      </c>
      <c r="AE47" s="705"/>
      <c r="AF47" s="1055">
        <v>3.0681818181818182E-2</v>
      </c>
      <c r="AG47" s="884"/>
      <c r="AH47" s="705"/>
      <c r="AI47" s="705"/>
      <c r="AJ47" s="705">
        <v>0.10654685494223363</v>
      </c>
      <c r="AK47" s="889"/>
      <c r="AL47" s="1418"/>
      <c r="AM47" s="1419"/>
      <c r="AN47" s="884"/>
      <c r="AO47" s="1687"/>
      <c r="AP47" s="705"/>
      <c r="AQ47" s="705"/>
      <c r="AR47" s="1591"/>
    </row>
    <row r="48" spans="1:46" x14ac:dyDescent="0.2">
      <c r="A48" s="707" t="s">
        <v>177</v>
      </c>
    </row>
    <row r="49" spans="1:43" ht="14.25" x14ac:dyDescent="0.2">
      <c r="A49" s="709" t="s">
        <v>249</v>
      </c>
    </row>
    <row r="50" spans="1:43" x14ac:dyDescent="0.2">
      <c r="A50" s="1466" t="s">
        <v>248</v>
      </c>
    </row>
    <row r="51" spans="1:43" ht="14.25" x14ac:dyDescent="0.2">
      <c r="A51" s="1108" t="s">
        <v>218</v>
      </c>
      <c r="N51" t="s">
        <v>136</v>
      </c>
    </row>
    <row r="52" spans="1:43" ht="14.25" x14ac:dyDescent="0.2">
      <c r="A52" s="1214" t="s">
        <v>243</v>
      </c>
    </row>
    <row r="54" spans="1:43" s="749" customFormat="1" ht="12.75" customHeight="1" x14ac:dyDescent="0.2">
      <c r="A54" s="752" t="s">
        <v>244</v>
      </c>
      <c r="B54" s="750" t="s">
        <v>245</v>
      </c>
      <c r="C54" s="749" t="s">
        <v>246</v>
      </c>
      <c r="D54" s="749" t="s">
        <v>247</v>
      </c>
      <c r="G54" s="750"/>
      <c r="H54" s="750"/>
      <c r="J54" s="750"/>
      <c r="M54" s="750"/>
      <c r="N54" s="750"/>
      <c r="O54" s="750"/>
      <c r="P54" s="750"/>
      <c r="Q54" s="750"/>
      <c r="R54" s="750"/>
      <c r="S54" s="750"/>
      <c r="T54" s="750"/>
      <c r="U54" s="750"/>
      <c r="V54" s="750"/>
      <c r="W54" s="750"/>
      <c r="X54" s="750"/>
      <c r="Y54" s="750"/>
      <c r="Z54" s="750"/>
      <c r="AA54" s="750"/>
      <c r="AB54" s="750"/>
      <c r="AC54" s="750"/>
      <c r="AD54" s="750"/>
      <c r="AE54" s="750"/>
      <c r="AF54" s="750"/>
      <c r="AG54" s="750"/>
      <c r="AH54" s="750"/>
      <c r="AI54" s="750"/>
      <c r="AJ54" s="750"/>
      <c r="AK54" s="750"/>
      <c r="AL54" s="750"/>
      <c r="AM54" s="750"/>
      <c r="AN54" s="750"/>
      <c r="AO54" s="750"/>
      <c r="AP54" s="750"/>
      <c r="AQ54" s="750"/>
    </row>
    <row r="56" spans="1:43" x14ac:dyDescent="0.2">
      <c r="A56" s="1569"/>
      <c r="R56" s="10"/>
    </row>
    <row r="57" spans="1:43" x14ac:dyDescent="0.2">
      <c r="B57" t="s">
        <v>245</v>
      </c>
      <c r="C57" t="s">
        <v>246</v>
      </c>
      <c r="D57" t="s">
        <v>247</v>
      </c>
    </row>
    <row r="58" spans="1:43" x14ac:dyDescent="0.2">
      <c r="B58" t="s">
        <v>245</v>
      </c>
      <c r="C58" t="s">
        <v>246</v>
      </c>
      <c r="D58" t="s">
        <v>247</v>
      </c>
    </row>
  </sheetData>
  <mergeCells count="2">
    <mergeCell ref="AL24:AL26"/>
    <mergeCell ref="AN25:AN26"/>
  </mergeCells>
  <phoneticPr fontId="3" type="noConversion"/>
  <conditionalFormatting sqref="AQ8 AO10:AP10">
    <cfRule type="expression" dxfId="1" priority="2" stopIfTrue="1">
      <formula>ISERROR(AO8)</formula>
    </cfRule>
  </conditionalFormatting>
  <pageMargins left="0.23622047244094491" right="0.15748031496062992" top="0.39370078740157483" bottom="0.39370078740157483" header="0.51181102362204722" footer="0.51181102362204722"/>
  <pageSetup paperSize="9" scale="64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  <pageSetUpPr fitToPage="1"/>
  </sheetPr>
  <dimension ref="A1:AT54"/>
  <sheetViews>
    <sheetView topLeftCell="A4" workbookViewId="0">
      <selection activeCell="AQ6" sqref="AQ6"/>
    </sheetView>
  </sheetViews>
  <sheetFormatPr baseColWidth="10" defaultRowHeight="12.75" x14ac:dyDescent="0.2"/>
  <cols>
    <col min="1" max="1" width="84.5703125" bestFit="1" customWidth="1"/>
    <col min="2" max="3" width="12.42578125" hidden="1" customWidth="1"/>
    <col min="4" max="7" width="13.28515625" hidden="1" customWidth="1"/>
    <col min="8" max="8" width="19.42578125" hidden="1" customWidth="1"/>
    <col min="9" max="9" width="13.85546875" hidden="1" customWidth="1"/>
    <col min="10" max="10" width="13.28515625" hidden="1" customWidth="1"/>
    <col min="11" max="11" width="12.42578125" hidden="1" customWidth="1"/>
    <col min="12" max="12" width="13.140625" hidden="1" customWidth="1"/>
    <col min="13" max="13" width="13.28515625" hidden="1" customWidth="1"/>
    <col min="14" max="14" width="16.85546875" hidden="1" customWidth="1"/>
    <col min="15" max="15" width="18.5703125" hidden="1" customWidth="1"/>
    <col min="16" max="16" width="17.7109375" hidden="1" customWidth="1"/>
    <col min="17" max="17" width="18.5703125" hidden="1" customWidth="1"/>
    <col min="18" max="18" width="17.7109375" hidden="1" customWidth="1"/>
    <col min="19" max="19" width="14.7109375" hidden="1" customWidth="1"/>
    <col min="20" max="20" width="16.42578125" hidden="1" customWidth="1"/>
    <col min="21" max="21" width="14.7109375" hidden="1" customWidth="1"/>
    <col min="22" max="22" width="13.28515625" hidden="1" customWidth="1"/>
    <col min="23" max="23" width="14" hidden="1" customWidth="1"/>
    <col min="24" max="24" width="15.85546875" hidden="1" customWidth="1"/>
    <col min="25" max="25" width="17" hidden="1" customWidth="1"/>
    <col min="26" max="26" width="15.7109375" hidden="1" customWidth="1"/>
    <col min="27" max="27" width="17.42578125" hidden="1" customWidth="1"/>
    <col min="28" max="28" width="15" hidden="1" customWidth="1"/>
    <col min="29" max="29" width="15.85546875" hidden="1" customWidth="1"/>
    <col min="30" max="30" width="14.28515625" hidden="1" customWidth="1"/>
    <col min="31" max="31" width="13.85546875" hidden="1" customWidth="1"/>
    <col min="32" max="34" width="15.85546875" hidden="1" customWidth="1"/>
    <col min="35" max="35" width="15.85546875" customWidth="1"/>
    <col min="36" max="36" width="15.85546875" hidden="1" customWidth="1"/>
    <col min="37" max="38" width="15.85546875" customWidth="1"/>
  </cols>
  <sheetData>
    <row r="1" spans="1:40" ht="78.75" customHeight="1" x14ac:dyDescent="0.2"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</row>
    <row r="2" spans="1:40" ht="20.25" customHeight="1" x14ac:dyDescent="0.3">
      <c r="A2" s="579" t="s">
        <v>0</v>
      </c>
      <c r="B2" s="580" t="s">
        <v>28</v>
      </c>
      <c r="C2" s="580" t="s">
        <v>75</v>
      </c>
      <c r="D2" s="580" t="s">
        <v>76</v>
      </c>
      <c r="E2" s="580" t="s">
        <v>108</v>
      </c>
      <c r="F2" s="580" t="s">
        <v>109</v>
      </c>
      <c r="G2" s="580" t="s">
        <v>109</v>
      </c>
      <c r="H2" s="581" t="s">
        <v>112</v>
      </c>
      <c r="I2" s="580" t="s">
        <v>81</v>
      </c>
      <c r="J2" s="580" t="s">
        <v>114</v>
      </c>
      <c r="K2" s="580" t="s">
        <v>81</v>
      </c>
      <c r="L2" s="582" t="s">
        <v>81</v>
      </c>
      <c r="M2" s="503" t="s">
        <v>114</v>
      </c>
      <c r="N2" s="583" t="s">
        <v>117</v>
      </c>
      <c r="O2" s="583" t="s">
        <v>119</v>
      </c>
      <c r="P2" s="583" t="s">
        <v>120</v>
      </c>
      <c r="Q2" s="583" t="s">
        <v>119</v>
      </c>
      <c r="R2" s="583" t="s">
        <v>120</v>
      </c>
      <c r="S2" s="583" t="s">
        <v>123</v>
      </c>
      <c r="T2" s="583" t="s">
        <v>125</v>
      </c>
      <c r="U2" s="583" t="s">
        <v>123</v>
      </c>
      <c r="V2" s="583" t="s">
        <v>123</v>
      </c>
      <c r="W2" s="466" t="s">
        <v>96</v>
      </c>
      <c r="X2" s="583" t="s">
        <v>96</v>
      </c>
      <c r="Y2" s="466" t="s">
        <v>128</v>
      </c>
      <c r="Z2" s="466" t="s">
        <v>128</v>
      </c>
      <c r="AA2" s="466" t="s">
        <v>131</v>
      </c>
      <c r="AB2" s="466" t="s">
        <v>128</v>
      </c>
      <c r="AC2" s="466" t="s">
        <v>128</v>
      </c>
      <c r="AD2" s="466" t="s">
        <v>52</v>
      </c>
      <c r="AE2" s="466" t="s">
        <v>135</v>
      </c>
      <c r="AF2" s="466" t="s">
        <v>52</v>
      </c>
      <c r="AG2" s="466" t="s">
        <v>52</v>
      </c>
      <c r="AH2" s="466" t="s">
        <v>52</v>
      </c>
      <c r="AI2" s="466" t="s">
        <v>52</v>
      </c>
      <c r="AJ2" s="466" t="s">
        <v>203</v>
      </c>
      <c r="AK2" s="466" t="s">
        <v>203</v>
      </c>
      <c r="AL2" s="467" t="s">
        <v>53</v>
      </c>
    </row>
    <row r="3" spans="1:40" ht="20.25" customHeight="1" x14ac:dyDescent="0.2">
      <c r="A3" s="584"/>
      <c r="B3" s="585"/>
      <c r="C3" s="585"/>
      <c r="D3" s="585"/>
      <c r="E3" s="585"/>
      <c r="F3" s="585" t="s">
        <v>110</v>
      </c>
      <c r="G3" s="585" t="s">
        <v>111</v>
      </c>
      <c r="H3" s="585"/>
      <c r="I3" s="585" t="s">
        <v>113</v>
      </c>
      <c r="J3" s="585" t="s">
        <v>115</v>
      </c>
      <c r="K3" s="585" t="s">
        <v>83</v>
      </c>
      <c r="L3" s="585" t="s">
        <v>116</v>
      </c>
      <c r="M3" s="558"/>
      <c r="N3" s="416" t="s">
        <v>118</v>
      </c>
      <c r="O3" s="416" t="s">
        <v>71</v>
      </c>
      <c r="P3" s="416" t="s">
        <v>121</v>
      </c>
      <c r="Q3" s="416" t="s">
        <v>122</v>
      </c>
      <c r="R3" s="416"/>
      <c r="S3" s="416" t="s">
        <v>124</v>
      </c>
      <c r="T3" s="416" t="s">
        <v>91</v>
      </c>
      <c r="U3" s="416" t="s">
        <v>126</v>
      </c>
      <c r="V3" s="416" t="s">
        <v>127</v>
      </c>
      <c r="W3" s="416" t="s">
        <v>97</v>
      </c>
      <c r="X3" s="416"/>
      <c r="Y3" s="416" t="s">
        <v>129</v>
      </c>
      <c r="Z3" s="416" t="s">
        <v>130</v>
      </c>
      <c r="AA3" s="416" t="s">
        <v>132</v>
      </c>
      <c r="AB3" s="416" t="s">
        <v>133</v>
      </c>
      <c r="AC3" s="672" t="s">
        <v>153</v>
      </c>
      <c r="AD3" s="416" t="s">
        <v>105</v>
      </c>
      <c r="AE3" s="416" t="s">
        <v>134</v>
      </c>
      <c r="AF3" s="672" t="s">
        <v>156</v>
      </c>
      <c r="AG3" s="672" t="s">
        <v>190</v>
      </c>
      <c r="AH3" s="672" t="s">
        <v>198</v>
      </c>
      <c r="AI3" s="672" t="s">
        <v>207</v>
      </c>
      <c r="AJ3" s="672" t="s">
        <v>198</v>
      </c>
      <c r="AK3" s="672" t="s">
        <v>207</v>
      </c>
      <c r="AL3" s="469" t="s">
        <v>204</v>
      </c>
    </row>
    <row r="4" spans="1:40" ht="20.25" customHeight="1" x14ac:dyDescent="0.2">
      <c r="A4" s="586"/>
      <c r="B4" s="587"/>
      <c r="C4" s="587"/>
      <c r="D4" s="587"/>
      <c r="E4" s="587"/>
      <c r="F4" s="587"/>
      <c r="G4" s="587"/>
      <c r="H4" s="587"/>
      <c r="I4" s="587"/>
      <c r="J4" s="587"/>
      <c r="K4" s="587"/>
      <c r="L4" s="587"/>
      <c r="M4" s="559"/>
      <c r="N4" s="520"/>
      <c r="O4" s="520"/>
      <c r="P4" s="520"/>
      <c r="Q4" s="520"/>
      <c r="R4" s="520"/>
      <c r="S4" s="520"/>
      <c r="T4" s="520"/>
      <c r="U4" s="520"/>
      <c r="V4" s="520"/>
      <c r="W4" s="520"/>
      <c r="X4" s="520"/>
      <c r="Y4" s="520"/>
      <c r="Z4" s="520"/>
      <c r="AA4" s="520"/>
      <c r="AB4" s="520"/>
      <c r="AC4" s="520"/>
      <c r="AD4" s="520"/>
      <c r="AE4" s="520"/>
      <c r="AF4" s="520"/>
      <c r="AG4" s="638"/>
      <c r="AH4" s="638"/>
      <c r="AI4" s="638"/>
      <c r="AJ4" s="638"/>
      <c r="AK4" s="638"/>
      <c r="AL4" s="568"/>
    </row>
    <row r="5" spans="1:40" ht="20.25" customHeight="1" x14ac:dyDescent="0.25">
      <c r="A5" s="588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560"/>
      <c r="N5" s="521"/>
      <c r="O5" s="521"/>
      <c r="P5" s="521"/>
      <c r="Q5" s="521"/>
      <c r="R5" s="521"/>
      <c r="S5" s="521"/>
      <c r="T5" s="521"/>
      <c r="U5" s="521"/>
      <c r="V5" s="521"/>
      <c r="W5" s="521"/>
      <c r="X5" s="521"/>
      <c r="Y5" s="521"/>
      <c r="Z5" s="521"/>
      <c r="AA5" s="521"/>
      <c r="AB5" s="521"/>
      <c r="AC5" s="521"/>
      <c r="AD5" s="521"/>
      <c r="AE5" s="521"/>
      <c r="AF5" s="521"/>
      <c r="AG5" s="676"/>
      <c r="AH5" s="676"/>
      <c r="AI5" s="676"/>
      <c r="AJ5" s="676"/>
      <c r="AK5" s="676"/>
      <c r="AL5" s="569"/>
    </row>
    <row r="6" spans="1:40" ht="18" x14ac:dyDescent="0.25">
      <c r="A6" s="589" t="s">
        <v>1</v>
      </c>
      <c r="B6" s="91"/>
      <c r="C6" s="92"/>
      <c r="D6" s="93"/>
      <c r="E6" s="93"/>
      <c r="F6" s="93"/>
      <c r="G6" s="93"/>
      <c r="H6" s="93"/>
      <c r="I6" s="93"/>
      <c r="J6" s="93"/>
      <c r="K6" s="93"/>
      <c r="L6" s="541"/>
      <c r="M6" s="380" t="s">
        <v>54</v>
      </c>
      <c r="N6" s="156"/>
      <c r="O6" s="522"/>
      <c r="P6" s="156"/>
      <c r="Q6" s="156"/>
      <c r="R6" s="155" t="s">
        <v>54</v>
      </c>
      <c r="S6" s="156"/>
      <c r="T6" s="156"/>
      <c r="U6" s="156"/>
      <c r="V6" s="156"/>
      <c r="W6" s="156"/>
      <c r="X6" s="155" t="s">
        <v>54</v>
      </c>
      <c r="Y6" s="156"/>
      <c r="Z6" s="156"/>
      <c r="AA6" s="156"/>
      <c r="AB6" s="156"/>
      <c r="AC6" s="155" t="s">
        <v>55</v>
      </c>
      <c r="AD6" s="156"/>
      <c r="AE6" s="156"/>
      <c r="AF6" s="155" t="s">
        <v>55</v>
      </c>
      <c r="AG6" s="155" t="s">
        <v>55</v>
      </c>
      <c r="AH6" s="155" t="s">
        <v>55</v>
      </c>
      <c r="AI6" s="155"/>
      <c r="AJ6" s="155" t="s">
        <v>55</v>
      </c>
      <c r="AK6" s="848"/>
      <c r="AL6" s="254"/>
    </row>
    <row r="7" spans="1:40" s="4" customFormat="1" ht="18" x14ac:dyDescent="0.25">
      <c r="A7" s="590"/>
      <c r="B7" s="103"/>
      <c r="C7" s="115"/>
      <c r="D7" s="115"/>
      <c r="E7" s="115"/>
      <c r="F7" s="115"/>
      <c r="G7" s="115"/>
      <c r="H7" s="115"/>
      <c r="I7" s="115"/>
      <c r="J7" s="115"/>
      <c r="K7" s="115"/>
      <c r="L7" s="542"/>
      <c r="M7" s="561"/>
      <c r="N7" s="523"/>
      <c r="O7" s="523"/>
      <c r="P7" s="523"/>
      <c r="Q7" s="523"/>
      <c r="R7" s="524"/>
      <c r="S7" s="523"/>
      <c r="T7" s="523"/>
      <c r="U7" s="523"/>
      <c r="V7" s="523"/>
      <c r="W7" s="523"/>
      <c r="X7" s="524"/>
      <c r="Y7" s="523"/>
      <c r="Z7" s="523"/>
      <c r="AA7" s="523"/>
      <c r="AB7" s="523"/>
      <c r="AC7" s="524"/>
      <c r="AD7" s="523"/>
      <c r="AE7" s="523"/>
      <c r="AF7" s="524"/>
      <c r="AG7" s="882"/>
      <c r="AH7" s="882"/>
      <c r="AI7" s="966" t="s">
        <v>210</v>
      </c>
      <c r="AJ7" s="887"/>
      <c r="AK7" s="969" t="s">
        <v>210</v>
      </c>
      <c r="AL7" s="570"/>
    </row>
    <row r="8" spans="1:40" ht="15" x14ac:dyDescent="0.25">
      <c r="A8" s="591" t="s">
        <v>57</v>
      </c>
      <c r="B8" s="110">
        <v>45</v>
      </c>
      <c r="C8" s="116">
        <v>32</v>
      </c>
      <c r="D8" s="116">
        <v>21.631</v>
      </c>
      <c r="E8" s="116">
        <v>43.563000000000002</v>
      </c>
      <c r="F8" s="116">
        <v>48.4</v>
      </c>
      <c r="G8" s="116">
        <v>50.563000000000002</v>
      </c>
      <c r="H8" s="116">
        <v>50.677999999999997</v>
      </c>
      <c r="I8" s="116">
        <v>42.07</v>
      </c>
      <c r="J8" s="116">
        <v>42.034999999999997</v>
      </c>
      <c r="K8" s="116">
        <v>41.53</v>
      </c>
      <c r="L8" s="543">
        <v>42</v>
      </c>
      <c r="M8" s="505">
        <v>42</v>
      </c>
      <c r="N8" s="423">
        <v>37</v>
      </c>
      <c r="O8" s="423">
        <v>37</v>
      </c>
      <c r="P8" s="423">
        <v>37</v>
      </c>
      <c r="Q8" s="423">
        <v>37</v>
      </c>
      <c r="R8" s="423">
        <v>37</v>
      </c>
      <c r="S8" s="423">
        <v>38</v>
      </c>
      <c r="T8" s="423">
        <v>41</v>
      </c>
      <c r="U8" s="423">
        <v>42</v>
      </c>
      <c r="V8" s="423">
        <v>42</v>
      </c>
      <c r="W8" s="423">
        <v>43</v>
      </c>
      <c r="X8" s="423">
        <v>43</v>
      </c>
      <c r="Y8" s="525">
        <v>54</v>
      </c>
      <c r="Z8" s="423">
        <v>72</v>
      </c>
      <c r="AA8" s="423">
        <v>74</v>
      </c>
      <c r="AB8" s="423">
        <v>76</v>
      </c>
      <c r="AC8" s="423">
        <v>76</v>
      </c>
      <c r="AD8" s="423">
        <v>90</v>
      </c>
      <c r="AE8" s="423">
        <v>95</v>
      </c>
      <c r="AF8" s="423">
        <v>94</v>
      </c>
      <c r="AG8" s="677">
        <v>100</v>
      </c>
      <c r="AH8" s="677">
        <f>'SO '!AH8</f>
        <v>102</v>
      </c>
      <c r="AI8" s="760">
        <f>'SO '!AI8</f>
        <v>122</v>
      </c>
      <c r="AJ8" s="856"/>
      <c r="AK8" s="856">
        <v>135</v>
      </c>
      <c r="AL8" s="571">
        <f>(AK8-AI8)/AI8</f>
        <v>0.10655737704918032</v>
      </c>
    </row>
    <row r="9" spans="1:40" ht="15" x14ac:dyDescent="0.25">
      <c r="A9" s="591" t="s">
        <v>58</v>
      </c>
      <c r="B9" s="111">
        <f>B10/B8*10</f>
        <v>27.333333333333336</v>
      </c>
      <c r="C9" s="117">
        <f t="shared" ref="C9:X9" si="0">C10/C8*10</f>
        <v>27.5</v>
      </c>
      <c r="D9" s="117">
        <f t="shared" si="0"/>
        <v>28.681059590402661</v>
      </c>
      <c r="E9" s="117">
        <f t="shared" si="0"/>
        <v>25.312076762390099</v>
      </c>
      <c r="F9" s="118">
        <f t="shared" si="0"/>
        <v>25</v>
      </c>
      <c r="G9" s="118">
        <f t="shared" si="0"/>
        <v>28.03235567509839</v>
      </c>
      <c r="H9" s="117">
        <f t="shared" si="0"/>
        <v>27.284028572556139</v>
      </c>
      <c r="I9" s="117">
        <f t="shared" si="0"/>
        <v>28.690278107915379</v>
      </c>
      <c r="J9" s="117">
        <f t="shared" si="0"/>
        <v>28.766028309741888</v>
      </c>
      <c r="K9" s="117">
        <f t="shared" si="0"/>
        <v>29.577413917649888</v>
      </c>
      <c r="L9" s="544">
        <f t="shared" si="0"/>
        <v>29.6</v>
      </c>
      <c r="M9" s="506">
        <f t="shared" si="0"/>
        <v>29.6</v>
      </c>
      <c r="N9" s="425">
        <f t="shared" si="0"/>
        <v>29.45945945945946</v>
      </c>
      <c r="O9" s="425">
        <f t="shared" si="0"/>
        <v>29.45945945945946</v>
      </c>
      <c r="P9" s="425">
        <f t="shared" si="0"/>
        <v>28.108108108108109</v>
      </c>
      <c r="Q9" s="425">
        <f t="shared" si="0"/>
        <v>28.108108108108109</v>
      </c>
      <c r="R9" s="425">
        <f t="shared" si="0"/>
        <v>28.108108108108109</v>
      </c>
      <c r="S9" s="425">
        <f t="shared" si="0"/>
        <v>28.000000000000004</v>
      </c>
      <c r="T9" s="425">
        <f t="shared" si="0"/>
        <v>26.585365853658537</v>
      </c>
      <c r="U9" s="425">
        <f t="shared" si="0"/>
        <v>26.666666666666664</v>
      </c>
      <c r="V9" s="425">
        <f t="shared" si="0"/>
        <v>26.428571428571427</v>
      </c>
      <c r="W9" s="425">
        <f t="shared" si="0"/>
        <v>26.279069767441857</v>
      </c>
      <c r="X9" s="425">
        <f t="shared" si="0"/>
        <v>26.04651162790698</v>
      </c>
      <c r="Y9" s="526">
        <f>Y10/Y8*10</f>
        <v>27.3</v>
      </c>
      <c r="Z9" s="425">
        <f>Z10/Z8*10</f>
        <v>29.861111111111111</v>
      </c>
      <c r="AA9" s="425">
        <f>AA10/AA8*10</f>
        <v>29.729729729729726</v>
      </c>
      <c r="AB9" s="423">
        <f>AB10/AB8*10</f>
        <v>29.736842105263158</v>
      </c>
      <c r="AC9" s="841">
        <v>29.74</v>
      </c>
      <c r="AD9" s="425">
        <f>AD10/AD8*10</f>
        <v>28.200000000000003</v>
      </c>
      <c r="AE9" s="425">
        <f>AE10/AE8*10</f>
        <v>28.2</v>
      </c>
      <c r="AF9" s="425">
        <v>22.77</v>
      </c>
      <c r="AG9" s="678">
        <v>27.2</v>
      </c>
      <c r="AH9" s="678">
        <f>'SO '!AH9</f>
        <v>27.058823529411768</v>
      </c>
      <c r="AI9" s="970">
        <f>'SO '!AI9</f>
        <v>27.295081967213115</v>
      </c>
      <c r="AJ9" s="871"/>
      <c r="AK9" s="1005">
        <f>AVERAGE(26.65,28.11,29.6)</f>
        <v>28.12</v>
      </c>
      <c r="AL9" s="571">
        <f>(AK9-AI9)/AI9</f>
        <v>3.0222222222222261E-2</v>
      </c>
      <c r="AN9" s="963"/>
    </row>
    <row r="10" spans="1:40" ht="15" x14ac:dyDescent="0.25">
      <c r="A10" s="591" t="s">
        <v>56</v>
      </c>
      <c r="B10" s="110">
        <v>123</v>
      </c>
      <c r="C10" s="119">
        <v>88</v>
      </c>
      <c r="D10" s="119">
        <v>62.04</v>
      </c>
      <c r="E10" s="116">
        <v>110.267</v>
      </c>
      <c r="F10" s="116">
        <v>121</v>
      </c>
      <c r="G10" s="116">
        <v>141.74</v>
      </c>
      <c r="H10" s="116">
        <v>138.27000000000001</v>
      </c>
      <c r="I10" s="116">
        <v>120.7</v>
      </c>
      <c r="J10" s="116">
        <v>120.91800000000001</v>
      </c>
      <c r="K10" s="116">
        <v>122.83499999999999</v>
      </c>
      <c r="L10" s="543">
        <v>124.32</v>
      </c>
      <c r="M10" s="505">
        <v>124.32</v>
      </c>
      <c r="N10" s="423">
        <v>109</v>
      </c>
      <c r="O10" s="423">
        <v>109</v>
      </c>
      <c r="P10" s="423">
        <v>104</v>
      </c>
      <c r="Q10" s="423">
        <v>104</v>
      </c>
      <c r="R10" s="423">
        <v>104</v>
      </c>
      <c r="S10" s="423">
        <v>106.4</v>
      </c>
      <c r="T10" s="423">
        <v>109</v>
      </c>
      <c r="U10" s="423">
        <v>112</v>
      </c>
      <c r="V10" s="423">
        <v>111</v>
      </c>
      <c r="W10" s="423">
        <v>113</v>
      </c>
      <c r="X10" s="423">
        <v>112</v>
      </c>
      <c r="Y10" s="525">
        <v>147.41999999999999</v>
      </c>
      <c r="Z10" s="423">
        <v>215</v>
      </c>
      <c r="AA10" s="423">
        <v>220</v>
      </c>
      <c r="AB10" s="423">
        <v>226</v>
      </c>
      <c r="AC10" s="423">
        <v>226</v>
      </c>
      <c r="AD10" s="423">
        <v>253.8</v>
      </c>
      <c r="AE10" s="423">
        <v>267.89999999999998</v>
      </c>
      <c r="AF10" s="423">
        <v>214</v>
      </c>
      <c r="AG10" s="677">
        <v>272</v>
      </c>
      <c r="AH10" s="677">
        <f>'SO '!AH10</f>
        <v>276</v>
      </c>
      <c r="AI10" s="760">
        <f>'SO '!AI10</f>
        <v>333</v>
      </c>
      <c r="AJ10" s="856"/>
      <c r="AK10" s="856">
        <f>AK8*AK9/10</f>
        <v>379.62</v>
      </c>
      <c r="AL10" s="571">
        <f>(AK10-AI10)/AI10</f>
        <v>0.14000000000000001</v>
      </c>
    </row>
    <row r="11" spans="1:40" x14ac:dyDescent="0.2">
      <c r="A11" s="592"/>
      <c r="B11" s="11"/>
      <c r="C11" s="120"/>
      <c r="D11" s="120"/>
      <c r="E11" s="120"/>
      <c r="F11" s="120"/>
      <c r="G11" s="120"/>
      <c r="H11" s="120"/>
      <c r="I11" s="120"/>
      <c r="J11" s="120"/>
      <c r="K11" s="120"/>
      <c r="L11" s="545"/>
      <c r="M11" s="562"/>
      <c r="N11" s="527"/>
      <c r="O11" s="527"/>
      <c r="P11" s="527"/>
      <c r="Q11" s="527"/>
      <c r="R11" s="527"/>
      <c r="S11" s="527"/>
      <c r="T11" s="527"/>
      <c r="U11" s="527"/>
      <c r="V11" s="527"/>
      <c r="W11" s="527"/>
      <c r="X11" s="527"/>
      <c r="Y11" s="528"/>
      <c r="Z11" s="527"/>
      <c r="AA11" s="527"/>
      <c r="AB11" s="527"/>
      <c r="AC11" s="527"/>
      <c r="AD11" s="527"/>
      <c r="AE11" s="527"/>
      <c r="AF11" s="527"/>
      <c r="AG11" s="883"/>
      <c r="AH11" s="883"/>
      <c r="AI11" s="795"/>
      <c r="AJ11" s="888"/>
      <c r="AK11" s="888"/>
      <c r="AL11" s="572"/>
    </row>
    <row r="12" spans="1:40" ht="14.25" x14ac:dyDescent="0.2">
      <c r="A12" s="974" t="s">
        <v>60</v>
      </c>
      <c r="B12" s="104">
        <f>B10-B21</f>
        <v>10</v>
      </c>
      <c r="C12" s="57">
        <f t="shared" ref="C12:AG12" si="1">C10-C21</f>
        <v>14.099999999999994</v>
      </c>
      <c r="D12" s="57">
        <f t="shared" si="1"/>
        <v>11.740000000000002</v>
      </c>
      <c r="E12" s="57">
        <f t="shared" si="1"/>
        <v>14.042000000000002</v>
      </c>
      <c r="F12" s="57">
        <f t="shared" si="1"/>
        <v>4</v>
      </c>
      <c r="G12" s="57">
        <f t="shared" si="1"/>
        <v>10.02000000000001</v>
      </c>
      <c r="H12" s="57">
        <f t="shared" si="1"/>
        <v>22.710000000000008</v>
      </c>
      <c r="I12" s="57">
        <f t="shared" si="1"/>
        <v>18.700000000000003</v>
      </c>
      <c r="J12" s="57">
        <f t="shared" si="1"/>
        <v>24.113</v>
      </c>
      <c r="K12" s="57">
        <f t="shared" si="1"/>
        <v>17.839999999999989</v>
      </c>
      <c r="L12" s="99">
        <f t="shared" si="1"/>
        <v>21.319999999999993</v>
      </c>
      <c r="M12" s="386">
        <f t="shared" si="1"/>
        <v>16.319999999999993</v>
      </c>
      <c r="N12" s="175">
        <f t="shared" si="1"/>
        <v>13</v>
      </c>
      <c r="O12" s="175">
        <f t="shared" si="1"/>
        <v>13</v>
      </c>
      <c r="P12" s="175">
        <f t="shared" si="1"/>
        <v>17</v>
      </c>
      <c r="Q12" s="175">
        <f t="shared" si="1"/>
        <v>14</v>
      </c>
      <c r="R12" s="175">
        <f t="shared" si="1"/>
        <v>17</v>
      </c>
      <c r="S12" s="175">
        <f t="shared" si="1"/>
        <v>15.960000000000008</v>
      </c>
      <c r="T12" s="175">
        <f t="shared" si="1"/>
        <v>15</v>
      </c>
      <c r="U12" s="175">
        <f t="shared" si="1"/>
        <v>22</v>
      </c>
      <c r="V12" s="175">
        <f t="shared" si="1"/>
        <v>27</v>
      </c>
      <c r="W12" s="175">
        <f t="shared" si="1"/>
        <v>23</v>
      </c>
      <c r="X12" s="175">
        <f t="shared" si="1"/>
        <v>24</v>
      </c>
      <c r="Y12" s="175">
        <f t="shared" si="1"/>
        <v>14.74199999999999</v>
      </c>
      <c r="Z12" s="175">
        <f t="shared" si="1"/>
        <v>34</v>
      </c>
      <c r="AA12" s="175">
        <f t="shared" si="1"/>
        <v>30</v>
      </c>
      <c r="AB12" s="175">
        <f t="shared" si="1"/>
        <v>30</v>
      </c>
      <c r="AC12" s="175">
        <f t="shared" si="1"/>
        <v>28</v>
      </c>
      <c r="AD12" s="175">
        <f t="shared" si="1"/>
        <v>50.800000000000011</v>
      </c>
      <c r="AE12" s="175">
        <f t="shared" si="1"/>
        <v>45.543000000000006</v>
      </c>
      <c r="AF12" s="175">
        <f t="shared" si="1"/>
        <v>40</v>
      </c>
      <c r="AG12" s="679">
        <f t="shared" si="1"/>
        <v>35</v>
      </c>
      <c r="AH12" s="679">
        <f>'SO '!AH12</f>
        <v>17</v>
      </c>
      <c r="AI12" s="761"/>
      <c r="AJ12" s="865"/>
      <c r="AK12" s="865"/>
      <c r="AL12" s="572"/>
    </row>
    <row r="13" spans="1:40" ht="14.25" x14ac:dyDescent="0.2">
      <c r="A13" s="975" t="s">
        <v>61</v>
      </c>
      <c r="B13" s="138">
        <f>(B12/B10)</f>
        <v>8.1300813008130079E-2</v>
      </c>
      <c r="C13" s="58">
        <f t="shared" ref="C13:AG13" si="2">(C12/C10)</f>
        <v>0.16022727272727266</v>
      </c>
      <c r="D13" s="58">
        <f t="shared" si="2"/>
        <v>0.18923275306254034</v>
      </c>
      <c r="E13" s="58">
        <f t="shared" si="2"/>
        <v>0.12734544333300082</v>
      </c>
      <c r="F13" s="58">
        <f t="shared" si="2"/>
        <v>3.3057851239669422E-2</v>
      </c>
      <c r="G13" s="58">
        <f t="shared" si="2"/>
        <v>7.0692817835473473E-2</v>
      </c>
      <c r="H13" s="58">
        <f t="shared" si="2"/>
        <v>0.16424387068778482</v>
      </c>
      <c r="I13" s="58">
        <f t="shared" si="2"/>
        <v>0.15492957746478875</v>
      </c>
      <c r="J13" s="58">
        <f t="shared" si="2"/>
        <v>0.19941613324732463</v>
      </c>
      <c r="K13" s="58">
        <f t="shared" si="2"/>
        <v>0.14523547848740173</v>
      </c>
      <c r="L13" s="546">
        <f t="shared" si="2"/>
        <v>0.17149292149292145</v>
      </c>
      <c r="M13" s="387">
        <f t="shared" si="2"/>
        <v>0.13127413127413123</v>
      </c>
      <c r="N13" s="181">
        <f t="shared" si="2"/>
        <v>0.11926605504587157</v>
      </c>
      <c r="O13" s="181">
        <f t="shared" si="2"/>
        <v>0.11926605504587157</v>
      </c>
      <c r="P13" s="181">
        <f t="shared" si="2"/>
        <v>0.16346153846153846</v>
      </c>
      <c r="Q13" s="181">
        <f t="shared" si="2"/>
        <v>0.13461538461538461</v>
      </c>
      <c r="R13" s="181">
        <f t="shared" si="2"/>
        <v>0.16346153846153846</v>
      </c>
      <c r="S13" s="181">
        <f t="shared" si="2"/>
        <v>0.15000000000000008</v>
      </c>
      <c r="T13" s="181">
        <f t="shared" si="2"/>
        <v>0.13761467889908258</v>
      </c>
      <c r="U13" s="181">
        <f t="shared" si="2"/>
        <v>0.19642857142857142</v>
      </c>
      <c r="V13" s="181">
        <f t="shared" si="2"/>
        <v>0.24324324324324326</v>
      </c>
      <c r="W13" s="181">
        <f t="shared" si="2"/>
        <v>0.20353982300884957</v>
      </c>
      <c r="X13" s="181">
        <f t="shared" si="2"/>
        <v>0.21428571428571427</v>
      </c>
      <c r="Y13" s="181">
        <f t="shared" si="2"/>
        <v>9.9999999999999936E-2</v>
      </c>
      <c r="Z13" s="181">
        <f t="shared" si="2"/>
        <v>0.15813953488372093</v>
      </c>
      <c r="AA13" s="181">
        <f t="shared" si="2"/>
        <v>0.13636363636363635</v>
      </c>
      <c r="AB13" s="181">
        <f t="shared" si="2"/>
        <v>0.13274336283185842</v>
      </c>
      <c r="AC13" s="181">
        <f t="shared" si="2"/>
        <v>0.12389380530973451</v>
      </c>
      <c r="AD13" s="181">
        <f t="shared" si="2"/>
        <v>0.2001576044129236</v>
      </c>
      <c r="AE13" s="181">
        <f t="shared" si="2"/>
        <v>0.17000000000000004</v>
      </c>
      <c r="AF13" s="181">
        <f t="shared" si="2"/>
        <v>0.18691588785046728</v>
      </c>
      <c r="AG13" s="680">
        <f t="shared" si="2"/>
        <v>0.12867647058823528</v>
      </c>
      <c r="AH13" s="680">
        <f>'SO '!AH13</f>
        <v>6.1594202898550728E-2</v>
      </c>
      <c r="AI13" s="762"/>
      <c r="AJ13" s="859"/>
      <c r="AK13" s="859"/>
      <c r="AL13" s="572"/>
    </row>
    <row r="14" spans="1:40" ht="14.25" x14ac:dyDescent="0.2">
      <c r="A14" s="595"/>
      <c r="B14" s="104"/>
      <c r="C14" s="57"/>
      <c r="D14" s="57"/>
      <c r="E14" s="57"/>
      <c r="F14" s="57"/>
      <c r="G14" s="57"/>
      <c r="H14" s="57"/>
      <c r="I14" s="57"/>
      <c r="J14" s="57"/>
      <c r="K14" s="57"/>
      <c r="L14" s="99"/>
      <c r="M14" s="386"/>
      <c r="N14" s="175"/>
      <c r="O14" s="175"/>
      <c r="P14" s="175"/>
      <c r="Q14" s="175">
        <v>85</v>
      </c>
      <c r="R14" s="175"/>
      <c r="S14" s="175"/>
      <c r="T14" s="175"/>
      <c r="U14" s="175">
        <v>75</v>
      </c>
      <c r="V14" s="175">
        <v>80</v>
      </c>
      <c r="W14" s="175">
        <v>84</v>
      </c>
      <c r="X14" s="175"/>
      <c r="Y14" s="175"/>
      <c r="Z14" s="175"/>
      <c r="AA14" s="175">
        <v>167</v>
      </c>
      <c r="AB14" s="175"/>
      <c r="AC14" s="175"/>
      <c r="AD14" s="175"/>
      <c r="AE14" s="175"/>
      <c r="AF14" s="175"/>
      <c r="AG14" s="679"/>
      <c r="AH14" s="679"/>
      <c r="AI14" s="761"/>
      <c r="AJ14" s="865"/>
      <c r="AK14" s="865"/>
      <c r="AL14" s="572"/>
    </row>
    <row r="15" spans="1:40" ht="14.25" x14ac:dyDescent="0.2">
      <c r="A15" s="955" t="s">
        <v>199</v>
      </c>
      <c r="B15" s="104"/>
      <c r="C15" s="57"/>
      <c r="D15" s="57"/>
      <c r="E15" s="57"/>
      <c r="F15" s="57"/>
      <c r="G15" s="57"/>
      <c r="H15" s="57"/>
      <c r="I15" s="57"/>
      <c r="J15" s="57"/>
      <c r="K15" s="57"/>
      <c r="L15" s="99"/>
      <c r="M15" s="386"/>
      <c r="N15" s="175"/>
      <c r="O15" s="175"/>
      <c r="P15" s="175"/>
      <c r="Q15" s="175">
        <v>0.81730769230769229</v>
      </c>
      <c r="R15" s="175"/>
      <c r="S15" s="175"/>
      <c r="T15" s="175"/>
      <c r="U15" s="175">
        <v>0.6696428571428571</v>
      </c>
      <c r="V15" s="175">
        <v>0.72072072072072069</v>
      </c>
      <c r="W15" s="175">
        <v>0.74336283185840712</v>
      </c>
      <c r="X15" s="175"/>
      <c r="Y15" s="175"/>
      <c r="Z15" s="175"/>
      <c r="AA15" s="175">
        <v>0.75909090909090904</v>
      </c>
      <c r="AB15" s="175"/>
      <c r="AC15" s="175"/>
      <c r="AD15" s="175"/>
      <c r="AE15" s="175"/>
      <c r="AF15" s="175"/>
      <c r="AG15" s="885">
        <v>239</v>
      </c>
      <c r="AH15" s="885"/>
      <c r="AI15" s="761"/>
      <c r="AJ15" s="865"/>
      <c r="AK15" s="865"/>
      <c r="AL15" s="572"/>
    </row>
    <row r="16" spans="1:40" ht="14.25" x14ac:dyDescent="0.2">
      <c r="A16" s="956" t="s">
        <v>191</v>
      </c>
      <c r="B16" s="104"/>
      <c r="C16" s="57"/>
      <c r="D16" s="57"/>
      <c r="E16" s="57"/>
      <c r="F16" s="57"/>
      <c r="G16" s="57"/>
      <c r="H16" s="57"/>
      <c r="I16" s="57"/>
      <c r="J16" s="57"/>
      <c r="K16" s="57"/>
      <c r="L16" s="99"/>
      <c r="M16" s="386"/>
      <c r="N16" s="175"/>
      <c r="O16" s="175"/>
      <c r="P16" s="175"/>
      <c r="Q16" s="175"/>
      <c r="R16" s="175"/>
      <c r="S16" s="175"/>
      <c r="T16" s="175"/>
      <c r="U16" s="175"/>
      <c r="V16" s="175"/>
      <c r="W16" s="175">
        <v>0.93333333333333335</v>
      </c>
      <c r="X16" s="175"/>
      <c r="Y16" s="175"/>
      <c r="Z16" s="175"/>
      <c r="AA16" s="175">
        <v>0.87894736842105259</v>
      </c>
      <c r="AB16" s="175"/>
      <c r="AC16" s="797">
        <f>AC15/AC10</f>
        <v>0</v>
      </c>
      <c r="AD16" s="797"/>
      <c r="AE16" s="797"/>
      <c r="AF16" s="797">
        <f>AF15/AF10</f>
        <v>0</v>
      </c>
      <c r="AG16" s="886">
        <f>AG15/AG10</f>
        <v>0.87867647058823528</v>
      </c>
      <c r="AH16" s="886"/>
      <c r="AI16" s="762"/>
      <c r="AJ16" s="859"/>
      <c r="AK16" s="859"/>
      <c r="AL16" s="572"/>
    </row>
    <row r="17" spans="1:46" ht="14.25" x14ac:dyDescent="0.2">
      <c r="A17" s="956" t="s">
        <v>29</v>
      </c>
      <c r="B17" s="104"/>
      <c r="C17" s="57"/>
      <c r="D17" s="57"/>
      <c r="E17" s="57"/>
      <c r="F17" s="57"/>
      <c r="G17" s="57"/>
      <c r="H17" s="57"/>
      <c r="I17" s="57"/>
      <c r="J17" s="57"/>
      <c r="K17" s="57"/>
      <c r="L17" s="99"/>
      <c r="M17" s="386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797">
        <f>AC15/AC21</f>
        <v>0</v>
      </c>
      <c r="AD17" s="797"/>
      <c r="AE17" s="797"/>
      <c r="AF17" s="797">
        <f>AF15/AF21</f>
        <v>0</v>
      </c>
      <c r="AG17" s="886">
        <f>AG15/AG21</f>
        <v>1.0084388185654007</v>
      </c>
      <c r="AH17" s="886"/>
      <c r="AI17" s="762"/>
      <c r="AJ17" s="859"/>
      <c r="AK17" s="859"/>
      <c r="AL17" s="572"/>
    </row>
    <row r="18" spans="1:46" ht="14.25" x14ac:dyDescent="0.2">
      <c r="A18" s="596"/>
      <c r="B18" s="104"/>
      <c r="C18" s="57"/>
      <c r="D18" s="57"/>
      <c r="E18" s="57"/>
      <c r="F18" s="57"/>
      <c r="G18" s="57"/>
      <c r="H18" s="57"/>
      <c r="I18" s="57"/>
      <c r="J18" s="57"/>
      <c r="K18" s="57"/>
      <c r="L18" s="99"/>
      <c r="M18" s="386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679"/>
      <c r="AH18" s="679"/>
      <c r="AI18" s="761"/>
      <c r="AJ18" s="865"/>
      <c r="AK18" s="865"/>
      <c r="AL18" s="572"/>
    </row>
    <row r="19" spans="1:46" ht="15" x14ac:dyDescent="0.25">
      <c r="A19" s="597" t="s">
        <v>59</v>
      </c>
      <c r="B19" s="104"/>
      <c r="C19" s="57"/>
      <c r="D19" s="57"/>
      <c r="E19" s="57"/>
      <c r="F19" s="57"/>
      <c r="G19" s="57"/>
      <c r="H19" s="57"/>
      <c r="I19" s="57"/>
      <c r="J19" s="57"/>
      <c r="K19" s="57"/>
      <c r="L19" s="99"/>
      <c r="M19" s="386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679"/>
      <c r="AH19" s="679"/>
      <c r="AI19" s="761"/>
      <c r="AJ19" s="865"/>
      <c r="AK19" s="865"/>
      <c r="AL19" s="572"/>
      <c r="AQ19" s="749">
        <v>630</v>
      </c>
      <c r="AR19" s="749"/>
      <c r="AS19" s="749"/>
      <c r="AT19" s="749"/>
    </row>
    <row r="20" spans="1:46" ht="15" x14ac:dyDescent="0.25">
      <c r="A20" s="598" t="s">
        <v>2</v>
      </c>
      <c r="B20" s="104">
        <v>58</v>
      </c>
      <c r="C20" s="57">
        <v>34</v>
      </c>
      <c r="D20" s="57">
        <v>34.89999999999992</v>
      </c>
      <c r="E20" s="57">
        <v>33.9</v>
      </c>
      <c r="F20" s="57">
        <v>46</v>
      </c>
      <c r="G20" s="57">
        <v>34.125</v>
      </c>
      <c r="H20" s="57">
        <v>34.125</v>
      </c>
      <c r="I20" s="57">
        <v>58.217999999999961</v>
      </c>
      <c r="J20" s="57">
        <v>58.217999999999961</v>
      </c>
      <c r="K20" s="57">
        <v>58.217999999999961</v>
      </c>
      <c r="L20" s="99">
        <v>58.217999999999961</v>
      </c>
      <c r="M20" s="393">
        <v>58</v>
      </c>
      <c r="N20" s="200">
        <v>34</v>
      </c>
      <c r="O20" s="200">
        <v>34</v>
      </c>
      <c r="P20" s="200">
        <v>34</v>
      </c>
      <c r="Q20" s="200">
        <v>34</v>
      </c>
      <c r="R20" s="200">
        <v>34</v>
      </c>
      <c r="S20" s="200">
        <v>30</v>
      </c>
      <c r="T20" s="200">
        <v>21</v>
      </c>
      <c r="U20" s="200">
        <v>21</v>
      </c>
      <c r="V20" s="200">
        <v>21</v>
      </c>
      <c r="W20" s="200">
        <v>21</v>
      </c>
      <c r="X20" s="200">
        <v>21</v>
      </c>
      <c r="Y20" s="200">
        <v>24</v>
      </c>
      <c r="Z20" s="200">
        <v>45</v>
      </c>
      <c r="AA20" s="200">
        <v>45</v>
      </c>
      <c r="AB20" s="200">
        <v>45</v>
      </c>
      <c r="AC20" s="200">
        <v>45</v>
      </c>
      <c r="AD20" s="200">
        <v>103</v>
      </c>
      <c r="AE20" s="200">
        <v>103</v>
      </c>
      <c r="AF20" s="200">
        <v>83</v>
      </c>
      <c r="AG20" s="682">
        <v>83</v>
      </c>
      <c r="AH20" s="682">
        <f>'SO '!AH20</f>
        <v>83</v>
      </c>
      <c r="AI20" s="767">
        <f>'SO '!AI20</f>
        <v>47.350000000000591</v>
      </c>
      <c r="AJ20" s="863">
        <f>AH43</f>
        <v>72</v>
      </c>
      <c r="AK20" s="863">
        <f>'SO '!AI43</f>
        <v>105.35000000000059</v>
      </c>
      <c r="AL20" s="571">
        <f>(AK20-AI20)/AI20</f>
        <v>1.2249208025343037</v>
      </c>
      <c r="AQ20" s="749">
        <v>578</v>
      </c>
      <c r="AR20" s="749" t="s">
        <v>193</v>
      </c>
      <c r="AS20" s="749"/>
      <c r="AT20" s="749"/>
    </row>
    <row r="21" spans="1:46" ht="15" x14ac:dyDescent="0.25">
      <c r="A21" s="599" t="s">
        <v>21</v>
      </c>
      <c r="B21" s="104">
        <v>113</v>
      </c>
      <c r="C21" s="57">
        <v>73.900000000000006</v>
      </c>
      <c r="D21" s="57">
        <v>50.3</v>
      </c>
      <c r="E21" s="57">
        <v>96.224999999999994</v>
      </c>
      <c r="F21" s="57">
        <v>117</v>
      </c>
      <c r="G21" s="57">
        <v>131.72</v>
      </c>
      <c r="H21" s="57">
        <v>115.56</v>
      </c>
      <c r="I21" s="57">
        <v>102</v>
      </c>
      <c r="J21" s="57">
        <v>96.805000000000007</v>
      </c>
      <c r="K21" s="57">
        <v>104.995</v>
      </c>
      <c r="L21" s="99">
        <v>103</v>
      </c>
      <c r="M21" s="393">
        <v>108</v>
      </c>
      <c r="N21" s="200">
        <v>96</v>
      </c>
      <c r="O21" s="200">
        <v>96</v>
      </c>
      <c r="P21" s="200">
        <v>87</v>
      </c>
      <c r="Q21" s="200">
        <v>90</v>
      </c>
      <c r="R21" s="200">
        <v>87</v>
      </c>
      <c r="S21" s="200">
        <v>90.44</v>
      </c>
      <c r="T21" s="200">
        <v>94</v>
      </c>
      <c r="U21" s="200">
        <v>90</v>
      </c>
      <c r="V21" s="200">
        <v>84</v>
      </c>
      <c r="W21" s="200">
        <v>90</v>
      </c>
      <c r="X21" s="200">
        <v>88</v>
      </c>
      <c r="Y21" s="200">
        <v>132.678</v>
      </c>
      <c r="Z21" s="200">
        <v>181</v>
      </c>
      <c r="AA21" s="200">
        <v>190</v>
      </c>
      <c r="AB21" s="200">
        <v>196</v>
      </c>
      <c r="AC21" s="200">
        <v>198</v>
      </c>
      <c r="AD21" s="200">
        <v>203</v>
      </c>
      <c r="AE21" s="200">
        <v>222.35699999999997</v>
      </c>
      <c r="AF21" s="200">
        <v>174</v>
      </c>
      <c r="AG21" s="682">
        <v>237</v>
      </c>
      <c r="AH21" s="682">
        <f>'SO '!AH21</f>
        <v>259</v>
      </c>
      <c r="AI21" s="767">
        <f>'SO '!AI21</f>
        <v>306</v>
      </c>
      <c r="AJ21" s="863"/>
      <c r="AK21" s="863">
        <f>AK22*AK10</f>
        <v>348.84000000000003</v>
      </c>
      <c r="AL21" s="571">
        <f>(AK21-AI21)/AI21</f>
        <v>0.1400000000000001</v>
      </c>
      <c r="AQ21" s="749">
        <f>630-578</f>
        <v>52</v>
      </c>
      <c r="AR21" s="749"/>
      <c r="AS21" s="749"/>
      <c r="AT21" s="749"/>
    </row>
    <row r="22" spans="1:46" ht="14.25" x14ac:dyDescent="0.2">
      <c r="A22" s="600" t="s">
        <v>30</v>
      </c>
      <c r="B22" s="104">
        <v>0.91869918699186992</v>
      </c>
      <c r="C22" s="57">
        <v>0.83977272727272734</v>
      </c>
      <c r="D22" s="57">
        <v>0.81076724693745972</v>
      </c>
      <c r="E22" s="57">
        <v>0.8726545566669992</v>
      </c>
      <c r="F22" s="57"/>
      <c r="G22" s="57"/>
      <c r="H22" s="57">
        <v>0.83575612931221521</v>
      </c>
      <c r="I22" s="57"/>
      <c r="J22" s="57"/>
      <c r="K22" s="57"/>
      <c r="L22" s="99"/>
      <c r="M22" s="387">
        <v>0.86872586872586877</v>
      </c>
      <c r="N22" s="181"/>
      <c r="O22" s="181"/>
      <c r="P22" s="181"/>
      <c r="Q22" s="181">
        <v>0.86538461538461542</v>
      </c>
      <c r="R22" s="181">
        <v>0.83653846153846156</v>
      </c>
      <c r="S22" s="181"/>
      <c r="T22" s="181">
        <v>0.86238532110091748</v>
      </c>
      <c r="U22" s="181">
        <v>0.8035714285714286</v>
      </c>
      <c r="V22" s="181">
        <v>0.7567567567567568</v>
      </c>
      <c r="W22" s="181">
        <v>0.79646017699115046</v>
      </c>
      <c r="X22" s="181">
        <v>0.7857142857142857</v>
      </c>
      <c r="Y22" s="181"/>
      <c r="Z22" s="181">
        <v>0.8418604651162791</v>
      </c>
      <c r="AA22" s="181">
        <v>0.86363636363636365</v>
      </c>
      <c r="AB22" s="181">
        <v>0.86725663716814161</v>
      </c>
      <c r="AC22" s="181">
        <v>0.87610619469026552</v>
      </c>
      <c r="AD22" s="181">
        <v>0.79984239558707648</v>
      </c>
      <c r="AE22" s="181">
        <v>0.83</v>
      </c>
      <c r="AF22" s="181">
        <v>0.81308411214953269</v>
      </c>
      <c r="AG22" s="680">
        <f>AG21/AG10</f>
        <v>0.87132352941176472</v>
      </c>
      <c r="AH22" s="680">
        <f>'SO '!AH22</f>
        <v>0.93840579710144922</v>
      </c>
      <c r="AI22" s="762">
        <f>'SO '!AI22</f>
        <v>0.91891891891891897</v>
      </c>
      <c r="AJ22" s="859"/>
      <c r="AK22" s="859">
        <f>AI22</f>
        <v>0.91891891891891897</v>
      </c>
      <c r="AL22" s="529"/>
      <c r="AQ22" s="749"/>
      <c r="AR22" s="749"/>
      <c r="AS22" s="749"/>
      <c r="AT22" s="749"/>
    </row>
    <row r="23" spans="1:46" ht="14.25" x14ac:dyDescent="0.2">
      <c r="A23" s="601" t="s">
        <v>31</v>
      </c>
      <c r="B23" s="104"/>
      <c r="C23" s="113">
        <v>-30</v>
      </c>
      <c r="D23" s="113">
        <v>-73</v>
      </c>
      <c r="E23" s="57"/>
      <c r="F23" s="57"/>
      <c r="G23" s="57"/>
      <c r="H23" s="57"/>
      <c r="I23" s="57"/>
      <c r="J23" s="57"/>
      <c r="K23" s="57"/>
      <c r="L23" s="99"/>
      <c r="M23" s="386">
        <v>51</v>
      </c>
      <c r="N23" s="175"/>
      <c r="O23" s="175"/>
      <c r="P23" s="175"/>
      <c r="Q23" s="175"/>
      <c r="R23" s="175">
        <v>20</v>
      </c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679"/>
      <c r="AH23" s="679"/>
      <c r="AI23" s="761"/>
      <c r="AJ23" s="865"/>
      <c r="AK23" s="865"/>
      <c r="AL23" s="529"/>
      <c r="AQ23" s="749"/>
      <c r="AR23" s="749"/>
      <c r="AS23" s="749"/>
      <c r="AT23" s="749"/>
    </row>
    <row r="24" spans="1:46" ht="15" x14ac:dyDescent="0.25">
      <c r="A24" s="1009" t="s">
        <v>20</v>
      </c>
      <c r="B24" s="102">
        <v>393</v>
      </c>
      <c r="C24" s="121">
        <v>372.4</v>
      </c>
      <c r="D24" s="122">
        <v>627.70000000000005</v>
      </c>
      <c r="E24" s="122">
        <v>566</v>
      </c>
      <c r="F24" s="122">
        <v>570</v>
      </c>
      <c r="G24" s="122">
        <v>500</v>
      </c>
      <c r="H24" s="121">
        <v>554.74700000000007</v>
      </c>
      <c r="I24" s="122">
        <v>650</v>
      </c>
      <c r="J24" s="122">
        <v>700</v>
      </c>
      <c r="K24" s="122">
        <v>690</v>
      </c>
      <c r="L24" s="547">
        <v>690</v>
      </c>
      <c r="M24" s="563">
        <v>647</v>
      </c>
      <c r="N24" s="530">
        <v>650</v>
      </c>
      <c r="O24" s="530">
        <v>670</v>
      </c>
      <c r="P24" s="530">
        <v>670</v>
      </c>
      <c r="Q24" s="530">
        <v>655</v>
      </c>
      <c r="R24" s="530">
        <v>616</v>
      </c>
      <c r="S24" s="530">
        <v>710</v>
      </c>
      <c r="T24" s="530">
        <v>620</v>
      </c>
      <c r="U24" s="530">
        <v>600</v>
      </c>
      <c r="V24" s="530">
        <v>615</v>
      </c>
      <c r="W24" s="530">
        <v>625</v>
      </c>
      <c r="X24" s="530">
        <v>648</v>
      </c>
      <c r="Y24" s="530">
        <v>580</v>
      </c>
      <c r="Z24" s="530">
        <v>550</v>
      </c>
      <c r="AA24" s="530">
        <v>640</v>
      </c>
      <c r="AB24" s="530">
        <v>636</v>
      </c>
      <c r="AC24" s="530">
        <v>619</v>
      </c>
      <c r="AD24" s="530">
        <v>610</v>
      </c>
      <c r="AE24" s="530">
        <v>600</v>
      </c>
      <c r="AF24" s="530">
        <v>650</v>
      </c>
      <c r="AG24" s="756">
        <f>AG25+AG26</f>
        <v>660</v>
      </c>
      <c r="AH24" s="756">
        <f>AH25+AH26</f>
        <v>660</v>
      </c>
      <c r="AI24" s="756">
        <f>AI25+AI26</f>
        <v>680</v>
      </c>
      <c r="AJ24" s="756">
        <f>AJ25+AJ26</f>
        <v>0</v>
      </c>
      <c r="AK24" s="1007"/>
      <c r="AL24" s="573">
        <f>(AK24-AI24)/AI24</f>
        <v>-1</v>
      </c>
      <c r="AQ24" s="749"/>
      <c r="AR24" s="749">
        <v>2.6</v>
      </c>
      <c r="AS24" s="749" t="s">
        <v>194</v>
      </c>
      <c r="AT24" s="749"/>
    </row>
    <row r="25" spans="1:46" ht="14.25" x14ac:dyDescent="0.2">
      <c r="A25" s="1010" t="s">
        <v>196</v>
      </c>
      <c r="B25" s="104">
        <v>50</v>
      </c>
      <c r="C25" s="57">
        <v>63.4</v>
      </c>
      <c r="D25" s="57">
        <v>55.7</v>
      </c>
      <c r="E25" s="57">
        <v>52</v>
      </c>
      <c r="F25" s="57">
        <v>50</v>
      </c>
      <c r="G25" s="57">
        <v>50</v>
      </c>
      <c r="H25" s="57">
        <v>47.822000000000003</v>
      </c>
      <c r="I25" s="57">
        <v>50</v>
      </c>
      <c r="J25" s="57">
        <v>50</v>
      </c>
      <c r="K25" s="57">
        <v>50</v>
      </c>
      <c r="L25" s="99">
        <v>50</v>
      </c>
      <c r="M25" s="386">
        <v>52</v>
      </c>
      <c r="N25" s="175">
        <v>50</v>
      </c>
      <c r="O25" s="175">
        <v>50</v>
      </c>
      <c r="P25" s="175">
        <v>45</v>
      </c>
      <c r="Q25" s="175">
        <v>40</v>
      </c>
      <c r="R25" s="175">
        <v>33</v>
      </c>
      <c r="S25" s="175">
        <v>50</v>
      </c>
      <c r="T25" s="175">
        <v>40</v>
      </c>
      <c r="U25" s="175">
        <v>30</v>
      </c>
      <c r="V25" s="175">
        <v>45</v>
      </c>
      <c r="W25" s="175">
        <v>35</v>
      </c>
      <c r="X25" s="175">
        <v>32</v>
      </c>
      <c r="Y25" s="175">
        <v>20</v>
      </c>
      <c r="Z25" s="175">
        <v>20</v>
      </c>
      <c r="AA25" s="175">
        <v>110</v>
      </c>
      <c r="AB25" s="175">
        <v>116</v>
      </c>
      <c r="AC25" s="847">
        <v>72</v>
      </c>
      <c r="AD25" s="175">
        <v>110</v>
      </c>
      <c r="AE25" s="175">
        <v>50</v>
      </c>
      <c r="AF25" s="175">
        <v>50</v>
      </c>
      <c r="AG25" s="679">
        <v>80</v>
      </c>
      <c r="AH25" s="679">
        <f>'SO '!AH25</f>
        <v>152</v>
      </c>
      <c r="AI25" s="761">
        <f>'SO '!AI25</f>
        <v>160</v>
      </c>
      <c r="AJ25" s="761"/>
      <c r="AK25" s="1008"/>
      <c r="AL25" s="748">
        <f>(AK25-AI25)/AI25</f>
        <v>-1</v>
      </c>
      <c r="AP25" s="10"/>
      <c r="AQ25" s="708"/>
      <c r="AR25" s="749">
        <v>0.98</v>
      </c>
      <c r="AS25" s="749" t="s">
        <v>195</v>
      </c>
      <c r="AT25" s="749"/>
    </row>
    <row r="26" spans="1:46" ht="14.25" x14ac:dyDescent="0.2">
      <c r="A26" s="1010" t="s">
        <v>3</v>
      </c>
      <c r="B26" s="104">
        <v>343</v>
      </c>
      <c r="C26" s="57">
        <v>309</v>
      </c>
      <c r="D26" s="57">
        <v>572</v>
      </c>
      <c r="E26" s="57">
        <v>514</v>
      </c>
      <c r="F26" s="57">
        <v>520</v>
      </c>
      <c r="G26" s="57">
        <v>450</v>
      </c>
      <c r="H26" s="57">
        <v>506.92500000000001</v>
      </c>
      <c r="I26" s="57">
        <v>600</v>
      </c>
      <c r="J26" s="57">
        <v>650</v>
      </c>
      <c r="K26" s="57">
        <v>640</v>
      </c>
      <c r="L26" s="99">
        <v>640</v>
      </c>
      <c r="M26" s="386">
        <v>595</v>
      </c>
      <c r="N26" s="175">
        <v>600</v>
      </c>
      <c r="O26" s="175">
        <v>620</v>
      </c>
      <c r="P26" s="175">
        <v>625</v>
      </c>
      <c r="Q26" s="175">
        <v>615</v>
      </c>
      <c r="R26" s="175">
        <v>583</v>
      </c>
      <c r="S26" s="175">
        <v>660</v>
      </c>
      <c r="T26" s="175">
        <v>580</v>
      </c>
      <c r="U26" s="175">
        <v>570</v>
      </c>
      <c r="V26" s="175">
        <v>570</v>
      </c>
      <c r="W26" s="175">
        <v>590</v>
      </c>
      <c r="X26" s="175">
        <v>616</v>
      </c>
      <c r="Y26" s="175">
        <v>560</v>
      </c>
      <c r="Z26" s="175">
        <v>530</v>
      </c>
      <c r="AA26" s="175">
        <v>530</v>
      </c>
      <c r="AB26" s="175">
        <v>520</v>
      </c>
      <c r="AC26" s="175">
        <v>547</v>
      </c>
      <c r="AD26" s="175">
        <v>500</v>
      </c>
      <c r="AE26" s="175">
        <v>550</v>
      </c>
      <c r="AF26" s="175">
        <v>600</v>
      </c>
      <c r="AG26" s="679">
        <v>580</v>
      </c>
      <c r="AH26" s="679">
        <f>'SO '!AH26</f>
        <v>508</v>
      </c>
      <c r="AI26" s="761">
        <f>'SO '!AI26</f>
        <v>520</v>
      </c>
      <c r="AJ26" s="761"/>
      <c r="AK26" s="1008"/>
      <c r="AL26" s="748">
        <f>(AK26-AI26)/AI26</f>
        <v>-1</v>
      </c>
      <c r="AQ26" s="749"/>
      <c r="AR26" s="749">
        <f>SUM(AR24:AR25)</f>
        <v>3.58</v>
      </c>
      <c r="AS26" s="749"/>
      <c r="AT26" s="749">
        <f>AR25/3.58</f>
        <v>0.27374301675977653</v>
      </c>
    </row>
    <row r="27" spans="1:46" ht="18.75" thickBot="1" x14ac:dyDescent="0.3">
      <c r="A27" s="37" t="s">
        <v>4</v>
      </c>
      <c r="B27" s="105">
        <v>564</v>
      </c>
      <c r="C27" s="123">
        <v>480.3</v>
      </c>
      <c r="D27" s="123">
        <v>712.9</v>
      </c>
      <c r="E27" s="123">
        <v>696.125</v>
      </c>
      <c r="F27" s="123">
        <v>733</v>
      </c>
      <c r="G27" s="123">
        <v>665.84500000000003</v>
      </c>
      <c r="H27" s="123">
        <v>704.43200000000002</v>
      </c>
      <c r="I27" s="123">
        <v>810.21799999999996</v>
      </c>
      <c r="J27" s="123">
        <v>855.02300000000002</v>
      </c>
      <c r="K27" s="123">
        <v>853.21299999999997</v>
      </c>
      <c r="L27" s="548">
        <v>851.21799999999996</v>
      </c>
      <c r="M27" s="518">
        <v>864</v>
      </c>
      <c r="N27" s="442">
        <v>780</v>
      </c>
      <c r="O27" s="442">
        <v>800</v>
      </c>
      <c r="P27" s="442">
        <v>791</v>
      </c>
      <c r="Q27" s="442">
        <v>779</v>
      </c>
      <c r="R27" s="442">
        <v>757</v>
      </c>
      <c r="S27" s="442">
        <v>830.44</v>
      </c>
      <c r="T27" s="442">
        <v>735</v>
      </c>
      <c r="U27" s="442">
        <v>711</v>
      </c>
      <c r="V27" s="442">
        <v>720</v>
      </c>
      <c r="W27" s="442">
        <v>736</v>
      </c>
      <c r="X27" s="442">
        <v>757</v>
      </c>
      <c r="Y27" s="442">
        <v>736.678</v>
      </c>
      <c r="Z27" s="442">
        <v>776</v>
      </c>
      <c r="AA27" s="442">
        <v>875</v>
      </c>
      <c r="AB27" s="442">
        <v>877</v>
      </c>
      <c r="AC27" s="442">
        <v>862</v>
      </c>
      <c r="AD27" s="442">
        <v>916</v>
      </c>
      <c r="AE27" s="442">
        <v>925.35699999999997</v>
      </c>
      <c r="AF27" s="442">
        <v>907</v>
      </c>
      <c r="AG27" s="496">
        <f>AG20+AG21+AG23+AG24</f>
        <v>980</v>
      </c>
      <c r="AH27" s="496">
        <f>AH20+AH21+AH23+AH24</f>
        <v>1002</v>
      </c>
      <c r="AI27" s="496">
        <f>AI20+AI21+AI23+AI24</f>
        <v>1033.3500000000006</v>
      </c>
      <c r="AJ27" s="496">
        <f>AJ20+AJ21+AJ23+AJ24</f>
        <v>72</v>
      </c>
      <c r="AK27" s="496">
        <f>AK20+AK21+AK23+AK24</f>
        <v>454.19000000000062</v>
      </c>
      <c r="AL27" s="459">
        <f>(AK27-AI27)/AI27</f>
        <v>-0.56046837954226514</v>
      </c>
    </row>
    <row r="28" spans="1:46" ht="14.25" thickTop="1" thickBot="1" x14ac:dyDescent="0.25">
      <c r="A28" s="603"/>
      <c r="B28" s="2"/>
      <c r="C28" s="124"/>
      <c r="D28" s="124"/>
      <c r="E28" s="125"/>
      <c r="F28" s="126"/>
      <c r="G28" s="126"/>
      <c r="H28" s="126"/>
      <c r="I28" s="126"/>
      <c r="J28" s="126"/>
      <c r="K28" s="126"/>
      <c r="L28" s="126"/>
      <c r="M28" s="564"/>
      <c r="N28" s="531"/>
      <c r="O28" s="531"/>
      <c r="P28" s="531"/>
      <c r="Q28" s="531"/>
      <c r="R28" s="531"/>
      <c r="S28" s="531"/>
      <c r="T28" s="531"/>
      <c r="U28" s="531"/>
      <c r="V28" s="531"/>
      <c r="W28" s="531"/>
      <c r="X28" s="531"/>
      <c r="Y28" s="532"/>
      <c r="Z28" s="531"/>
      <c r="AA28" s="531"/>
      <c r="AB28" s="531"/>
      <c r="AC28" s="531"/>
      <c r="AD28" s="531"/>
      <c r="AE28" s="531"/>
      <c r="AF28" s="531"/>
      <c r="AG28" s="791"/>
      <c r="AH28" s="791"/>
      <c r="AI28" s="791"/>
      <c r="AJ28" s="791"/>
      <c r="AK28" s="791"/>
      <c r="AL28" s="572"/>
    </row>
    <row r="29" spans="1:46" ht="18.75" thickTop="1" x14ac:dyDescent="0.25">
      <c r="A29" s="604" t="s">
        <v>5</v>
      </c>
      <c r="B29" s="106"/>
      <c r="C29" s="127"/>
      <c r="D29" s="127"/>
      <c r="E29" s="127"/>
      <c r="F29" s="128"/>
      <c r="G29" s="128"/>
      <c r="H29" s="127"/>
      <c r="I29" s="128"/>
      <c r="J29" s="128"/>
      <c r="K29" s="128"/>
      <c r="L29" s="549"/>
      <c r="M29" s="565"/>
      <c r="N29" s="533"/>
      <c r="O29" s="533"/>
      <c r="P29" s="533"/>
      <c r="Q29" s="533"/>
      <c r="R29" s="533"/>
      <c r="S29" s="533"/>
      <c r="T29" s="533"/>
      <c r="U29" s="533"/>
      <c r="V29" s="533"/>
      <c r="W29" s="533"/>
      <c r="X29" s="533"/>
      <c r="Y29" s="533"/>
      <c r="Z29" s="533"/>
      <c r="AA29" s="533"/>
      <c r="AB29" s="533"/>
      <c r="AC29" s="533"/>
      <c r="AD29" s="533"/>
      <c r="AE29" s="533"/>
      <c r="AF29" s="533"/>
      <c r="AG29" s="792"/>
      <c r="AH29" s="792"/>
      <c r="AI29" s="792"/>
      <c r="AJ29" s="792"/>
      <c r="AK29" s="792"/>
      <c r="AL29" s="574"/>
    </row>
    <row r="30" spans="1:46" s="4" customFormat="1" ht="18" x14ac:dyDescent="0.25">
      <c r="A30" s="605"/>
      <c r="B30" s="107"/>
      <c r="C30" s="129"/>
      <c r="D30" s="129"/>
      <c r="E30" s="129"/>
      <c r="F30" s="130"/>
      <c r="G30" s="130"/>
      <c r="H30" s="129"/>
      <c r="I30" s="130"/>
      <c r="J30" s="130"/>
      <c r="K30" s="130"/>
      <c r="L30" s="550"/>
      <c r="M30" s="566"/>
      <c r="N30" s="534"/>
      <c r="O30" s="534"/>
      <c r="P30" s="534"/>
      <c r="Q30" s="534"/>
      <c r="R30" s="534"/>
      <c r="S30" s="534"/>
      <c r="T30" s="534"/>
      <c r="U30" s="534"/>
      <c r="V30" s="534"/>
      <c r="W30" s="534"/>
      <c r="X30" s="534"/>
      <c r="Y30" s="534"/>
      <c r="Z30" s="534"/>
      <c r="AA30" s="534"/>
      <c r="AB30" s="534"/>
      <c r="AC30" s="534"/>
      <c r="AD30" s="534"/>
      <c r="AE30" s="534"/>
      <c r="AF30" s="534"/>
      <c r="AG30" s="793"/>
      <c r="AH30" s="793"/>
      <c r="AI30" s="793"/>
      <c r="AJ30" s="793"/>
      <c r="AK30" s="793"/>
      <c r="AL30" s="575"/>
    </row>
    <row r="31" spans="1:46" ht="15" x14ac:dyDescent="0.25">
      <c r="A31" s="96" t="s">
        <v>73</v>
      </c>
      <c r="B31" s="97">
        <v>501</v>
      </c>
      <c r="C31" s="131">
        <v>437.3</v>
      </c>
      <c r="D31" s="131">
        <v>673</v>
      </c>
      <c r="E31" s="131">
        <v>635</v>
      </c>
      <c r="F31" s="131">
        <v>669</v>
      </c>
      <c r="G31" s="131">
        <v>619</v>
      </c>
      <c r="H31" s="131">
        <v>615.322</v>
      </c>
      <c r="I31" s="131">
        <v>734</v>
      </c>
      <c r="J31" s="131">
        <v>774</v>
      </c>
      <c r="K31" s="131">
        <v>779</v>
      </c>
      <c r="L31" s="551">
        <v>789</v>
      </c>
      <c r="M31" s="535">
        <v>796</v>
      </c>
      <c r="N31" s="536">
        <v>729</v>
      </c>
      <c r="O31" s="536">
        <v>749</v>
      </c>
      <c r="P31" s="536">
        <v>744</v>
      </c>
      <c r="Q31" s="536">
        <v>719</v>
      </c>
      <c r="R31" s="536">
        <v>707</v>
      </c>
      <c r="S31" s="536">
        <v>769</v>
      </c>
      <c r="T31" s="536">
        <v>685</v>
      </c>
      <c r="U31" s="536">
        <v>664</v>
      </c>
      <c r="V31" s="536">
        <v>669</v>
      </c>
      <c r="W31" s="536">
        <v>689</v>
      </c>
      <c r="X31" s="536">
        <v>690</v>
      </c>
      <c r="Y31" s="536">
        <v>690</v>
      </c>
      <c r="Z31" s="536">
        <v>684</v>
      </c>
      <c r="AA31" s="536">
        <v>684</v>
      </c>
      <c r="AB31" s="536">
        <v>724</v>
      </c>
      <c r="AC31" s="536">
        <v>726</v>
      </c>
      <c r="AD31" s="536">
        <v>779</v>
      </c>
      <c r="AE31" s="536">
        <v>785</v>
      </c>
      <c r="AF31" s="536">
        <v>810</v>
      </c>
      <c r="AG31" s="794">
        <f>AG32+AG33+AG34+AG35+AG36</f>
        <v>855</v>
      </c>
      <c r="AH31" s="794">
        <f>AH32+AH33+AH34+AH35+AH36</f>
        <v>855</v>
      </c>
      <c r="AI31" s="794">
        <f>AI32+AI33+AI34+AI35+AI36</f>
        <v>848</v>
      </c>
      <c r="AJ31" s="794">
        <f>AJ32+AJ33+AJ34+AJ35+AJ36</f>
        <v>0</v>
      </c>
      <c r="AK31" s="794">
        <f>AK32+AK33+AK34+AK35+AK36</f>
        <v>218</v>
      </c>
      <c r="AL31" s="573">
        <f t="shared" ref="AL31:AL36" si="3">(AK31-AI31)/AI31</f>
        <v>-0.74292452830188682</v>
      </c>
    </row>
    <row r="32" spans="1:46" ht="16.5" x14ac:dyDescent="0.2">
      <c r="A32" s="1011" t="s">
        <v>181</v>
      </c>
      <c r="B32" s="112">
        <v>342</v>
      </c>
      <c r="C32" s="113">
        <v>256.7</v>
      </c>
      <c r="D32" s="113">
        <v>482</v>
      </c>
      <c r="E32" s="113">
        <v>484</v>
      </c>
      <c r="F32" s="113">
        <v>500</v>
      </c>
      <c r="G32" s="113">
        <v>450</v>
      </c>
      <c r="H32" s="113">
        <v>461.60399999999998</v>
      </c>
      <c r="I32" s="113">
        <v>600</v>
      </c>
      <c r="J32" s="113">
        <v>620</v>
      </c>
      <c r="K32" s="113">
        <v>620</v>
      </c>
      <c r="L32" s="552">
        <v>630</v>
      </c>
      <c r="M32" s="509">
        <v>633</v>
      </c>
      <c r="N32" s="432">
        <v>580</v>
      </c>
      <c r="O32" s="432">
        <v>600</v>
      </c>
      <c r="P32" s="432">
        <v>600</v>
      </c>
      <c r="Q32" s="432">
        <v>580</v>
      </c>
      <c r="R32" s="432">
        <v>582</v>
      </c>
      <c r="S32" s="432">
        <v>620</v>
      </c>
      <c r="T32" s="432">
        <v>540</v>
      </c>
      <c r="U32" s="432">
        <v>545</v>
      </c>
      <c r="V32" s="432">
        <v>545</v>
      </c>
      <c r="W32" s="432">
        <v>565</v>
      </c>
      <c r="X32" s="432">
        <v>566</v>
      </c>
      <c r="Y32" s="537">
        <v>550</v>
      </c>
      <c r="Z32" s="432">
        <v>530</v>
      </c>
      <c r="AA32" s="432">
        <v>530</v>
      </c>
      <c r="AB32" s="432">
        <v>555</v>
      </c>
      <c r="AC32" s="176">
        <v>560</v>
      </c>
      <c r="AD32" s="432">
        <v>600</v>
      </c>
      <c r="AE32" s="432">
        <v>600</v>
      </c>
      <c r="AF32" s="432">
        <v>615</v>
      </c>
      <c r="AG32" s="687">
        <v>655</v>
      </c>
      <c r="AH32" s="687">
        <f>'SO '!AH32</f>
        <v>655</v>
      </c>
      <c r="AI32" s="764">
        <f>'SO '!AI32</f>
        <v>655</v>
      </c>
      <c r="AJ32" s="858"/>
      <c r="AK32" s="1006"/>
      <c r="AL32" s="748">
        <f t="shared" si="3"/>
        <v>-1</v>
      </c>
    </row>
    <row r="33" spans="1:44" ht="14.25" x14ac:dyDescent="0.2">
      <c r="A33" s="34" t="s">
        <v>6</v>
      </c>
      <c r="B33" s="112">
        <v>66</v>
      </c>
      <c r="C33" s="113">
        <v>57.6</v>
      </c>
      <c r="D33" s="113">
        <v>45</v>
      </c>
      <c r="E33" s="113">
        <v>53</v>
      </c>
      <c r="F33" s="113">
        <v>65</v>
      </c>
      <c r="G33" s="113">
        <v>65</v>
      </c>
      <c r="H33" s="113">
        <v>59.718000000000004</v>
      </c>
      <c r="I33" s="113">
        <v>40</v>
      </c>
      <c r="J33" s="113">
        <v>60</v>
      </c>
      <c r="K33" s="113">
        <v>60</v>
      </c>
      <c r="L33" s="552">
        <v>60</v>
      </c>
      <c r="M33" s="509">
        <v>64</v>
      </c>
      <c r="N33" s="432">
        <v>60</v>
      </c>
      <c r="O33" s="432">
        <v>60</v>
      </c>
      <c r="P33" s="432">
        <v>55</v>
      </c>
      <c r="Q33" s="432">
        <v>50</v>
      </c>
      <c r="R33" s="432">
        <v>46</v>
      </c>
      <c r="S33" s="432">
        <v>50</v>
      </c>
      <c r="T33" s="432">
        <v>46</v>
      </c>
      <c r="U33" s="432">
        <v>30</v>
      </c>
      <c r="V33" s="432">
        <v>35</v>
      </c>
      <c r="W33" s="432">
        <v>35</v>
      </c>
      <c r="X33" s="432">
        <v>35</v>
      </c>
      <c r="Y33" s="537">
        <v>40</v>
      </c>
      <c r="Z33" s="432">
        <v>45</v>
      </c>
      <c r="AA33" s="432">
        <v>45</v>
      </c>
      <c r="AB33" s="432">
        <v>55</v>
      </c>
      <c r="AC33" s="176">
        <v>52</v>
      </c>
      <c r="AD33" s="432">
        <v>55</v>
      </c>
      <c r="AE33" s="432">
        <v>60</v>
      </c>
      <c r="AF33" s="432">
        <v>65</v>
      </c>
      <c r="AG33" s="687">
        <v>70</v>
      </c>
      <c r="AH33" s="687">
        <f>'SO '!AH33</f>
        <v>70</v>
      </c>
      <c r="AI33" s="764">
        <f>'SO '!AI33</f>
        <v>70</v>
      </c>
      <c r="AJ33" s="858"/>
      <c r="AK33" s="858">
        <v>70</v>
      </c>
      <c r="AL33" s="748">
        <f t="shared" si="3"/>
        <v>0</v>
      </c>
    </row>
    <row r="34" spans="1:44" ht="14.25" x14ac:dyDescent="0.2">
      <c r="A34" s="34" t="s">
        <v>14</v>
      </c>
      <c r="B34" s="112">
        <v>55</v>
      </c>
      <c r="C34" s="113">
        <v>35</v>
      </c>
      <c r="D34" s="113">
        <v>35</v>
      </c>
      <c r="E34" s="113">
        <v>45</v>
      </c>
      <c r="F34" s="137">
        <v>50</v>
      </c>
      <c r="G34" s="137">
        <v>50</v>
      </c>
      <c r="H34" s="113">
        <v>45</v>
      </c>
      <c r="I34" s="113">
        <v>40</v>
      </c>
      <c r="J34" s="113">
        <v>40</v>
      </c>
      <c r="K34" s="113">
        <v>45</v>
      </c>
      <c r="L34" s="552">
        <v>45</v>
      </c>
      <c r="M34" s="509">
        <v>45</v>
      </c>
      <c r="N34" s="432">
        <v>35</v>
      </c>
      <c r="O34" s="432">
        <v>35</v>
      </c>
      <c r="P34" s="432">
        <v>35</v>
      </c>
      <c r="Q34" s="432">
        <v>35</v>
      </c>
      <c r="R34" s="432">
        <v>35</v>
      </c>
      <c r="S34" s="432">
        <v>45</v>
      </c>
      <c r="T34" s="432">
        <v>45</v>
      </c>
      <c r="U34" s="432">
        <v>35</v>
      </c>
      <c r="V34" s="432">
        <v>35</v>
      </c>
      <c r="W34" s="432">
        <v>35</v>
      </c>
      <c r="X34" s="432">
        <v>35</v>
      </c>
      <c r="Y34" s="537">
        <v>45</v>
      </c>
      <c r="Z34" s="432">
        <v>55</v>
      </c>
      <c r="AA34" s="432">
        <v>55</v>
      </c>
      <c r="AB34" s="432">
        <v>60</v>
      </c>
      <c r="AC34" s="176">
        <v>60</v>
      </c>
      <c r="AD34" s="432">
        <v>70</v>
      </c>
      <c r="AE34" s="432">
        <v>70</v>
      </c>
      <c r="AF34" s="432">
        <v>75</v>
      </c>
      <c r="AG34" s="687">
        <v>75</v>
      </c>
      <c r="AH34" s="687">
        <f>'SO '!AH34</f>
        <v>75</v>
      </c>
      <c r="AI34" s="764">
        <f>'SO '!AI34</f>
        <v>75</v>
      </c>
      <c r="AJ34" s="858"/>
      <c r="AK34" s="858">
        <v>100</v>
      </c>
      <c r="AL34" s="748">
        <f t="shared" si="3"/>
        <v>0.33333333333333331</v>
      </c>
    </row>
    <row r="35" spans="1:44" ht="14.25" x14ac:dyDescent="0.2">
      <c r="A35" s="34" t="s">
        <v>15</v>
      </c>
      <c r="B35" s="112">
        <v>35</v>
      </c>
      <c r="C35" s="113">
        <v>55</v>
      </c>
      <c r="D35" s="113">
        <v>35</v>
      </c>
      <c r="E35" s="113">
        <v>50</v>
      </c>
      <c r="F35" s="132">
        <v>50</v>
      </c>
      <c r="G35" s="132">
        <v>50</v>
      </c>
      <c r="H35" s="113">
        <v>45</v>
      </c>
      <c r="I35" s="113">
        <v>50</v>
      </c>
      <c r="J35" s="113">
        <v>50</v>
      </c>
      <c r="K35" s="113">
        <v>50</v>
      </c>
      <c r="L35" s="552">
        <v>50</v>
      </c>
      <c r="M35" s="509">
        <v>50</v>
      </c>
      <c r="N35" s="432">
        <v>50</v>
      </c>
      <c r="O35" s="432">
        <v>50</v>
      </c>
      <c r="P35" s="432">
        <v>50</v>
      </c>
      <c r="Q35" s="432">
        <v>50</v>
      </c>
      <c r="R35" s="432">
        <v>40</v>
      </c>
      <c r="S35" s="432">
        <v>50</v>
      </c>
      <c r="T35" s="432">
        <v>50</v>
      </c>
      <c r="U35" s="432">
        <v>50</v>
      </c>
      <c r="V35" s="432">
        <v>50</v>
      </c>
      <c r="W35" s="432">
        <v>50</v>
      </c>
      <c r="X35" s="432">
        <v>50</v>
      </c>
      <c r="Y35" s="537">
        <v>50</v>
      </c>
      <c r="Z35" s="432">
        <v>50</v>
      </c>
      <c r="AA35" s="432">
        <v>50</v>
      </c>
      <c r="AB35" s="432">
        <v>50</v>
      </c>
      <c r="AC35" s="176">
        <v>50</v>
      </c>
      <c r="AD35" s="432">
        <v>50</v>
      </c>
      <c r="AE35" s="432">
        <v>50</v>
      </c>
      <c r="AF35" s="432">
        <v>50</v>
      </c>
      <c r="AG35" s="687">
        <v>50</v>
      </c>
      <c r="AH35" s="687">
        <f>'SO '!AH35</f>
        <v>50</v>
      </c>
      <c r="AI35" s="764">
        <f>'SO '!AI35</f>
        <v>40</v>
      </c>
      <c r="AJ35" s="858"/>
      <c r="AK35" s="858">
        <v>40</v>
      </c>
      <c r="AL35" s="748">
        <f t="shared" si="3"/>
        <v>0</v>
      </c>
      <c r="AP35" s="10"/>
      <c r="AR35" s="10"/>
    </row>
    <row r="36" spans="1:44" ht="14.25" x14ac:dyDescent="0.2">
      <c r="A36" s="34" t="s">
        <v>7</v>
      </c>
      <c r="B36" s="112">
        <v>3</v>
      </c>
      <c r="C36" s="113">
        <v>3</v>
      </c>
      <c r="D36" s="113">
        <v>3</v>
      </c>
      <c r="E36" s="113">
        <v>3</v>
      </c>
      <c r="F36" s="113">
        <v>4</v>
      </c>
      <c r="G36" s="113">
        <v>4</v>
      </c>
      <c r="H36" s="113">
        <v>4</v>
      </c>
      <c r="I36" s="113">
        <v>4</v>
      </c>
      <c r="J36" s="113">
        <v>4</v>
      </c>
      <c r="K36" s="113">
        <v>4</v>
      </c>
      <c r="L36" s="552">
        <v>4</v>
      </c>
      <c r="M36" s="509">
        <v>4</v>
      </c>
      <c r="N36" s="432">
        <v>4</v>
      </c>
      <c r="O36" s="432">
        <v>4</v>
      </c>
      <c r="P36" s="432">
        <v>4</v>
      </c>
      <c r="Q36" s="432">
        <v>4</v>
      </c>
      <c r="R36" s="432">
        <v>4</v>
      </c>
      <c r="S36" s="432">
        <v>4</v>
      </c>
      <c r="T36" s="432">
        <v>4</v>
      </c>
      <c r="U36" s="432">
        <v>4</v>
      </c>
      <c r="V36" s="432">
        <v>4</v>
      </c>
      <c r="W36" s="432">
        <v>4</v>
      </c>
      <c r="X36" s="432">
        <v>4</v>
      </c>
      <c r="Y36" s="537">
        <v>5</v>
      </c>
      <c r="Z36" s="432">
        <v>4</v>
      </c>
      <c r="AA36" s="432">
        <v>4</v>
      </c>
      <c r="AB36" s="432">
        <v>4</v>
      </c>
      <c r="AC36" s="176">
        <v>4</v>
      </c>
      <c r="AD36" s="432">
        <v>4</v>
      </c>
      <c r="AE36" s="432">
        <v>5</v>
      </c>
      <c r="AF36" s="432">
        <v>5</v>
      </c>
      <c r="AG36" s="687">
        <v>5</v>
      </c>
      <c r="AH36" s="687">
        <f>'SO '!AH36</f>
        <v>5</v>
      </c>
      <c r="AI36" s="764">
        <f>'SO '!AI36</f>
        <v>8</v>
      </c>
      <c r="AJ36" s="858"/>
      <c r="AK36" s="858">
        <v>8</v>
      </c>
      <c r="AL36" s="748">
        <f t="shared" si="3"/>
        <v>0</v>
      </c>
    </row>
    <row r="37" spans="1:44" ht="14.25" x14ac:dyDescent="0.2">
      <c r="A37" s="34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552"/>
      <c r="M37" s="509"/>
      <c r="N37" s="432"/>
      <c r="O37" s="432"/>
      <c r="P37" s="432"/>
      <c r="Q37" s="432"/>
      <c r="R37" s="432"/>
      <c r="S37" s="432"/>
      <c r="T37" s="432"/>
      <c r="U37" s="432"/>
      <c r="V37" s="432"/>
      <c r="W37" s="432"/>
      <c r="X37" s="432"/>
      <c r="Y37" s="537"/>
      <c r="Z37" s="432"/>
      <c r="AA37" s="432"/>
      <c r="AB37" s="432"/>
      <c r="AC37" s="432"/>
      <c r="AD37" s="432"/>
      <c r="AE37" s="432"/>
      <c r="AF37" s="432"/>
      <c r="AG37" s="687"/>
      <c r="AH37" s="687"/>
      <c r="AI37" s="764"/>
      <c r="AJ37" s="858"/>
      <c r="AK37" s="858"/>
      <c r="AL37" s="748"/>
    </row>
    <row r="38" spans="1:44" ht="15" x14ac:dyDescent="0.25">
      <c r="A38" s="98" t="s">
        <v>9</v>
      </c>
      <c r="B38" s="108">
        <v>29</v>
      </c>
      <c r="C38" s="100">
        <v>8.1</v>
      </c>
      <c r="D38" s="100">
        <v>6</v>
      </c>
      <c r="E38" s="100">
        <v>27</v>
      </c>
      <c r="F38" s="100">
        <v>25</v>
      </c>
      <c r="G38" s="100">
        <v>30</v>
      </c>
      <c r="H38" s="100">
        <v>30.891999999999999</v>
      </c>
      <c r="I38" s="100">
        <v>25</v>
      </c>
      <c r="J38" s="100">
        <v>23</v>
      </c>
      <c r="K38" s="100">
        <v>21</v>
      </c>
      <c r="L38" s="553">
        <v>28</v>
      </c>
      <c r="M38" s="563">
        <v>34</v>
      </c>
      <c r="N38" s="530">
        <v>25</v>
      </c>
      <c r="O38" s="530">
        <v>25</v>
      </c>
      <c r="P38" s="530">
        <v>30</v>
      </c>
      <c r="Q38" s="530">
        <v>30</v>
      </c>
      <c r="R38" s="530">
        <v>29</v>
      </c>
      <c r="S38" s="530">
        <v>35</v>
      </c>
      <c r="T38" s="530">
        <v>30</v>
      </c>
      <c r="U38" s="530">
        <v>25</v>
      </c>
      <c r="V38" s="530">
        <v>21</v>
      </c>
      <c r="W38" s="530">
        <v>23</v>
      </c>
      <c r="X38" s="530">
        <v>22</v>
      </c>
      <c r="Y38" s="530">
        <v>26</v>
      </c>
      <c r="Z38" s="530">
        <v>33</v>
      </c>
      <c r="AA38" s="530">
        <v>33</v>
      </c>
      <c r="AB38" s="530">
        <v>50</v>
      </c>
      <c r="AC38" s="530">
        <v>53</v>
      </c>
      <c r="AD38" s="530">
        <v>50</v>
      </c>
      <c r="AE38" s="530">
        <v>60</v>
      </c>
      <c r="AF38" s="530">
        <v>70</v>
      </c>
      <c r="AG38" s="756">
        <f>AG39+AG40</f>
        <v>65</v>
      </c>
      <c r="AH38" s="756">
        <f>AH39+AH40</f>
        <v>75</v>
      </c>
      <c r="AI38" s="756">
        <f>AI39+AI40</f>
        <v>80</v>
      </c>
      <c r="AJ38" s="756">
        <f>AJ39+AJ40</f>
        <v>0</v>
      </c>
      <c r="AK38" s="756">
        <f>AK39+AK40</f>
        <v>100</v>
      </c>
      <c r="AL38" s="576">
        <f>(AK38-AI38)/AI38</f>
        <v>0.25</v>
      </c>
    </row>
    <row r="39" spans="1:44" ht="14.25" x14ac:dyDescent="0.2">
      <c r="A39" s="34" t="s">
        <v>10</v>
      </c>
      <c r="B39" s="112">
        <v>24</v>
      </c>
      <c r="C39" s="113">
        <v>7</v>
      </c>
      <c r="D39" s="113">
        <v>4</v>
      </c>
      <c r="E39" s="113">
        <v>20</v>
      </c>
      <c r="F39" s="113">
        <v>20</v>
      </c>
      <c r="G39" s="113">
        <v>20</v>
      </c>
      <c r="H39" s="113">
        <v>22.097999999999999</v>
      </c>
      <c r="I39" s="113">
        <v>15</v>
      </c>
      <c r="J39" s="113">
        <v>15</v>
      </c>
      <c r="K39" s="113">
        <v>15</v>
      </c>
      <c r="L39" s="552">
        <v>20</v>
      </c>
      <c r="M39" s="509">
        <v>26</v>
      </c>
      <c r="N39" s="432">
        <v>20</v>
      </c>
      <c r="O39" s="432">
        <v>20</v>
      </c>
      <c r="P39" s="432">
        <v>20</v>
      </c>
      <c r="Q39" s="432">
        <v>20</v>
      </c>
      <c r="R39" s="432">
        <v>21</v>
      </c>
      <c r="S39" s="432">
        <v>25</v>
      </c>
      <c r="T39" s="432">
        <v>20</v>
      </c>
      <c r="U39" s="432">
        <v>15</v>
      </c>
      <c r="V39" s="432">
        <v>15</v>
      </c>
      <c r="W39" s="432">
        <v>17</v>
      </c>
      <c r="X39" s="432">
        <v>17</v>
      </c>
      <c r="Y39" s="537">
        <v>20</v>
      </c>
      <c r="Z39" s="432">
        <v>25</v>
      </c>
      <c r="AA39" s="432">
        <v>25</v>
      </c>
      <c r="AB39" s="432">
        <v>43</v>
      </c>
      <c r="AC39" s="432">
        <v>46</v>
      </c>
      <c r="AD39" s="432">
        <v>40</v>
      </c>
      <c r="AE39" s="432">
        <v>50</v>
      </c>
      <c r="AF39" s="432">
        <v>60</v>
      </c>
      <c r="AG39" s="687">
        <v>55</v>
      </c>
      <c r="AH39" s="687">
        <f>'SO '!AH39</f>
        <v>65</v>
      </c>
      <c r="AI39" s="764">
        <f>'SO '!AI39</f>
        <v>70</v>
      </c>
      <c r="AJ39" s="858"/>
      <c r="AK39" s="858">
        <v>90</v>
      </c>
      <c r="AL39" s="748">
        <f>(AK39-AI39)/AI39</f>
        <v>0.2857142857142857</v>
      </c>
    </row>
    <row r="40" spans="1:44" ht="14.25" x14ac:dyDescent="0.2">
      <c r="A40" s="34" t="s">
        <v>3</v>
      </c>
      <c r="B40" s="114">
        <v>5</v>
      </c>
      <c r="C40" s="133">
        <v>1.1000000000000001</v>
      </c>
      <c r="D40" s="133">
        <v>2</v>
      </c>
      <c r="E40" s="133">
        <v>7</v>
      </c>
      <c r="F40" s="133">
        <v>5</v>
      </c>
      <c r="G40" s="133">
        <v>10</v>
      </c>
      <c r="H40" s="133">
        <v>8.7940000000000005</v>
      </c>
      <c r="I40" s="133">
        <v>10</v>
      </c>
      <c r="J40" s="133">
        <v>8</v>
      </c>
      <c r="K40" s="133">
        <v>6</v>
      </c>
      <c r="L40" s="554">
        <v>8</v>
      </c>
      <c r="M40" s="386">
        <v>8</v>
      </c>
      <c r="N40" s="175">
        <v>5</v>
      </c>
      <c r="O40" s="175">
        <v>5</v>
      </c>
      <c r="P40" s="175">
        <v>10</v>
      </c>
      <c r="Q40" s="175">
        <v>10</v>
      </c>
      <c r="R40" s="175">
        <v>8</v>
      </c>
      <c r="S40" s="175">
        <v>10</v>
      </c>
      <c r="T40" s="175">
        <v>10</v>
      </c>
      <c r="U40" s="175">
        <v>10</v>
      </c>
      <c r="V40" s="175">
        <v>6</v>
      </c>
      <c r="W40" s="175">
        <v>6</v>
      </c>
      <c r="X40" s="175">
        <v>5</v>
      </c>
      <c r="Y40" s="538">
        <v>6</v>
      </c>
      <c r="Z40" s="175">
        <v>8</v>
      </c>
      <c r="AA40" s="175">
        <v>8</v>
      </c>
      <c r="AB40" s="175">
        <v>7</v>
      </c>
      <c r="AC40" s="175">
        <v>7</v>
      </c>
      <c r="AD40" s="175">
        <v>10</v>
      </c>
      <c r="AE40" s="175">
        <v>10</v>
      </c>
      <c r="AF40" s="175">
        <v>10</v>
      </c>
      <c r="AG40" s="679">
        <v>10</v>
      </c>
      <c r="AH40" s="679">
        <f>'SO '!AH40</f>
        <v>10</v>
      </c>
      <c r="AI40" s="764">
        <f>'SO '!AI40</f>
        <v>10</v>
      </c>
      <c r="AJ40" s="865"/>
      <c r="AK40" s="865">
        <v>10</v>
      </c>
      <c r="AL40" s="748">
        <f>(AK40-AI40)/AI40</f>
        <v>0</v>
      </c>
    </row>
    <row r="41" spans="1:44" ht="18.75" thickBot="1" x14ac:dyDescent="0.3">
      <c r="A41" s="37" t="s">
        <v>74</v>
      </c>
      <c r="B41" s="38">
        <v>530</v>
      </c>
      <c r="C41" s="134">
        <v>445.4</v>
      </c>
      <c r="D41" s="134">
        <v>679</v>
      </c>
      <c r="E41" s="134">
        <v>662</v>
      </c>
      <c r="F41" s="134">
        <v>694</v>
      </c>
      <c r="G41" s="134">
        <v>649</v>
      </c>
      <c r="H41" s="134">
        <v>646.21400000000006</v>
      </c>
      <c r="I41" s="134">
        <v>759</v>
      </c>
      <c r="J41" s="134">
        <v>797</v>
      </c>
      <c r="K41" s="134">
        <v>800</v>
      </c>
      <c r="L41" s="555">
        <v>817</v>
      </c>
      <c r="M41" s="518">
        <v>830</v>
      </c>
      <c r="N41" s="442">
        <v>754</v>
      </c>
      <c r="O41" s="442">
        <v>774</v>
      </c>
      <c r="P41" s="442">
        <v>774</v>
      </c>
      <c r="Q41" s="442">
        <v>749</v>
      </c>
      <c r="R41" s="442">
        <v>736</v>
      </c>
      <c r="S41" s="442">
        <v>804</v>
      </c>
      <c r="T41" s="442">
        <v>715</v>
      </c>
      <c r="U41" s="442">
        <v>689</v>
      </c>
      <c r="V41" s="442">
        <v>690</v>
      </c>
      <c r="W41" s="442">
        <v>712</v>
      </c>
      <c r="X41" s="442">
        <v>712</v>
      </c>
      <c r="Y41" s="442">
        <v>716</v>
      </c>
      <c r="Z41" s="442">
        <v>717</v>
      </c>
      <c r="AA41" s="442">
        <v>717</v>
      </c>
      <c r="AB41" s="442">
        <v>774</v>
      </c>
      <c r="AC41" s="442">
        <v>779</v>
      </c>
      <c r="AD41" s="442">
        <v>829</v>
      </c>
      <c r="AE41" s="442">
        <v>845</v>
      </c>
      <c r="AF41" s="442">
        <v>880</v>
      </c>
      <c r="AG41" s="496">
        <f>AG31+AG38</f>
        <v>920</v>
      </c>
      <c r="AH41" s="496">
        <f>AH31+AH38</f>
        <v>930</v>
      </c>
      <c r="AI41" s="496">
        <f>AI31+AI38</f>
        <v>928</v>
      </c>
      <c r="AJ41" s="496">
        <f>AJ31+AJ38</f>
        <v>0</v>
      </c>
      <c r="AK41" s="496">
        <f>AK31+AK38</f>
        <v>318</v>
      </c>
      <c r="AL41" s="459">
        <f>(AK41-AI41)/AI41</f>
        <v>-0.65732758620689657</v>
      </c>
    </row>
    <row r="42" spans="1:44" ht="14.25" thickTop="1" thickBot="1" x14ac:dyDescent="0.25">
      <c r="A42" s="90"/>
      <c r="B42" s="101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567"/>
      <c r="N42" s="539"/>
      <c r="O42" s="539"/>
      <c r="P42" s="539"/>
      <c r="Q42" s="539"/>
      <c r="R42" s="539"/>
      <c r="S42" s="539"/>
      <c r="T42" s="539"/>
      <c r="U42" s="539"/>
      <c r="V42" s="539"/>
      <c r="W42" s="539"/>
      <c r="X42" s="539"/>
      <c r="Y42" s="540"/>
      <c r="Z42" s="539"/>
      <c r="AA42" s="539"/>
      <c r="AB42" s="539"/>
      <c r="AC42" s="539"/>
      <c r="AD42" s="539"/>
      <c r="AE42" s="534"/>
      <c r="AF42" s="534"/>
      <c r="AG42" s="793"/>
      <c r="AH42" s="793"/>
      <c r="AI42" s="793"/>
      <c r="AJ42" s="793"/>
      <c r="AK42" s="793"/>
      <c r="AL42" s="572"/>
    </row>
    <row r="43" spans="1:44" ht="21.75" thickTop="1" x14ac:dyDescent="0.25">
      <c r="A43" s="151" t="s">
        <v>182</v>
      </c>
      <c r="B43" s="109">
        <v>34</v>
      </c>
      <c r="C43" s="136">
        <v>34.89999999999992</v>
      </c>
      <c r="D43" s="136">
        <v>33.9</v>
      </c>
      <c r="E43" s="136">
        <v>34.125</v>
      </c>
      <c r="F43" s="136">
        <v>39</v>
      </c>
      <c r="G43" s="136">
        <v>16.844999999999999</v>
      </c>
      <c r="H43" s="136">
        <v>58.217999999999961</v>
      </c>
      <c r="I43" s="136">
        <v>51.217999999999961</v>
      </c>
      <c r="J43" s="136">
        <v>58.023000000000025</v>
      </c>
      <c r="K43" s="136">
        <v>53.212999999999965</v>
      </c>
      <c r="L43" s="556">
        <v>34.217999999999961</v>
      </c>
      <c r="M43" s="518">
        <v>34</v>
      </c>
      <c r="N43" s="442">
        <v>26</v>
      </c>
      <c r="O43" s="442">
        <v>26</v>
      </c>
      <c r="P43" s="442">
        <v>17</v>
      </c>
      <c r="Q43" s="442">
        <v>30</v>
      </c>
      <c r="R43" s="442">
        <v>21</v>
      </c>
      <c r="S43" s="442">
        <v>26.439999999999941</v>
      </c>
      <c r="T43" s="442">
        <v>20</v>
      </c>
      <c r="U43" s="442">
        <v>22</v>
      </c>
      <c r="V43" s="442">
        <v>30</v>
      </c>
      <c r="W43" s="442">
        <v>24</v>
      </c>
      <c r="X43" s="442">
        <v>45</v>
      </c>
      <c r="Y43" s="442">
        <v>20.677999999999997</v>
      </c>
      <c r="Z43" s="442">
        <v>59</v>
      </c>
      <c r="AA43" s="442">
        <v>158</v>
      </c>
      <c r="AB43" s="442">
        <v>103</v>
      </c>
      <c r="AC43" s="442">
        <v>83</v>
      </c>
      <c r="AD43" s="442">
        <v>87</v>
      </c>
      <c r="AE43" s="442">
        <v>80.356999999999971</v>
      </c>
      <c r="AF43" s="442">
        <v>27</v>
      </c>
      <c r="AG43" s="496">
        <f>AG27-AG41</f>
        <v>60</v>
      </c>
      <c r="AH43" s="496">
        <f>AH27-AH41</f>
        <v>72</v>
      </c>
      <c r="AI43" s="496">
        <f>AI27-AI41</f>
        <v>105.35000000000059</v>
      </c>
      <c r="AJ43" s="496">
        <f>AJ27-AJ41</f>
        <v>72</v>
      </c>
      <c r="AK43" s="496">
        <f>AK27-AK41</f>
        <v>136.19000000000062</v>
      </c>
      <c r="AL43" s="459">
        <f>(AK43-AI43)/AI43</f>
        <v>0.29273849074513392</v>
      </c>
    </row>
    <row r="44" spans="1:44" ht="14.25" x14ac:dyDescent="0.2">
      <c r="A44" s="34" t="s">
        <v>11</v>
      </c>
      <c r="B44" s="112"/>
      <c r="C44" s="112"/>
      <c r="D44" s="112">
        <v>16.46</v>
      </c>
      <c r="E44" s="112">
        <v>13.971</v>
      </c>
      <c r="F44" s="112"/>
      <c r="G44" s="112"/>
      <c r="H44" s="112">
        <v>33.494999999999997</v>
      </c>
      <c r="I44" s="112"/>
      <c r="J44" s="112"/>
      <c r="K44" s="112"/>
      <c r="L44" s="557"/>
      <c r="M44" s="509">
        <v>22</v>
      </c>
      <c r="N44" s="432"/>
      <c r="O44" s="432"/>
      <c r="P44" s="432"/>
      <c r="Q44" s="432"/>
      <c r="R44" s="432">
        <v>15</v>
      </c>
      <c r="S44" s="432"/>
      <c r="T44" s="432"/>
      <c r="U44" s="432"/>
      <c r="V44" s="432"/>
      <c r="W44" s="432"/>
      <c r="X44" s="432">
        <v>18</v>
      </c>
      <c r="Y44" s="432"/>
      <c r="Z44" s="432"/>
      <c r="AA44" s="432"/>
      <c r="AB44" s="432"/>
      <c r="AC44" s="432">
        <v>44</v>
      </c>
      <c r="AD44" s="432"/>
      <c r="AE44" s="432"/>
      <c r="AF44" s="432"/>
      <c r="AG44" s="687"/>
      <c r="AH44" s="687"/>
      <c r="AI44" s="764"/>
      <c r="AJ44" s="858"/>
      <c r="AK44" s="858"/>
      <c r="AL44" s="577"/>
    </row>
    <row r="45" spans="1:44" ht="14.25" x14ac:dyDescent="0.2">
      <c r="A45" s="34" t="s">
        <v>12</v>
      </c>
      <c r="B45" s="112"/>
      <c r="C45" s="112"/>
      <c r="D45" s="112"/>
      <c r="E45" s="112">
        <v>2.6970000000000001</v>
      </c>
      <c r="F45" s="112"/>
      <c r="G45" s="112"/>
      <c r="H45" s="112">
        <v>2.21</v>
      </c>
      <c r="I45" s="112"/>
      <c r="J45" s="112"/>
      <c r="K45" s="112"/>
      <c r="L45" s="557"/>
      <c r="M45" s="509">
        <v>3</v>
      </c>
      <c r="N45" s="432"/>
      <c r="O45" s="432"/>
      <c r="P45" s="432"/>
      <c r="Q45" s="432"/>
      <c r="R45" s="432">
        <v>4</v>
      </c>
      <c r="S45" s="432"/>
      <c r="T45" s="432"/>
      <c r="U45" s="432"/>
      <c r="V45" s="432"/>
      <c r="W45" s="432"/>
      <c r="X45" s="432">
        <v>2</v>
      </c>
      <c r="Y45" s="432"/>
      <c r="Z45" s="432"/>
      <c r="AA45" s="432"/>
      <c r="AB45" s="432"/>
      <c r="AC45" s="432">
        <v>3</v>
      </c>
      <c r="AD45" s="432"/>
      <c r="AE45" s="432"/>
      <c r="AF45" s="432"/>
      <c r="AG45" s="687"/>
      <c r="AH45" s="687"/>
      <c r="AI45" s="764"/>
      <c r="AJ45" s="858"/>
      <c r="AK45" s="858"/>
      <c r="AL45" s="577"/>
    </row>
    <row r="46" spans="1:44" ht="14.25" x14ac:dyDescent="0.2">
      <c r="A46" s="34" t="s">
        <v>13</v>
      </c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557"/>
      <c r="M46" s="509"/>
      <c r="N46" s="432"/>
      <c r="O46" s="432"/>
      <c r="P46" s="432"/>
      <c r="Q46" s="432"/>
      <c r="R46" s="432"/>
      <c r="S46" s="432"/>
      <c r="T46" s="432"/>
      <c r="U46" s="432"/>
      <c r="V46" s="432"/>
      <c r="W46" s="432"/>
      <c r="X46" s="432"/>
      <c r="Y46" s="432"/>
      <c r="Z46" s="432"/>
      <c r="AA46" s="432"/>
      <c r="AB46" s="432"/>
      <c r="AC46" s="432"/>
      <c r="AD46" s="432"/>
      <c r="AE46" s="432"/>
      <c r="AF46" s="432"/>
      <c r="AG46" s="687"/>
      <c r="AH46" s="687"/>
      <c r="AI46" s="764"/>
      <c r="AJ46" s="858"/>
      <c r="AK46" s="858"/>
      <c r="AL46" s="577"/>
    </row>
    <row r="47" spans="1:44" ht="14.25" x14ac:dyDescent="0.2">
      <c r="A47" s="706" t="s">
        <v>176</v>
      </c>
      <c r="B47" s="607">
        <v>6.4150943396226415E-2</v>
      </c>
      <c r="C47" s="607">
        <v>7.8356533453075708E-2</v>
      </c>
      <c r="D47" s="607">
        <v>4.9926362297496286E-2</v>
      </c>
      <c r="E47" s="607">
        <v>5.1548338368580061E-2</v>
      </c>
      <c r="F47" s="607">
        <v>5.6195965417867436E-2</v>
      </c>
      <c r="G47" s="607">
        <v>2.595531587057015E-2</v>
      </c>
      <c r="H47" s="607">
        <v>9.0090898680622755E-2</v>
      </c>
      <c r="I47" s="607">
        <v>6.7480895915678477E-2</v>
      </c>
      <c r="J47" s="607">
        <v>7.2801756587202032E-2</v>
      </c>
      <c r="K47" s="607">
        <v>6.6516249999999957E-2</v>
      </c>
      <c r="L47" s="608">
        <v>4.1882496940024432E-2</v>
      </c>
      <c r="M47" s="704">
        <v>4.0963855421686748E-2</v>
      </c>
      <c r="N47" s="705">
        <v>3.4482758620689655E-2</v>
      </c>
      <c r="O47" s="705">
        <v>3.3591731266149873E-2</v>
      </c>
      <c r="P47" s="705">
        <v>2.1963824289405683E-2</v>
      </c>
      <c r="Q47" s="705">
        <v>4.0053404539385849E-2</v>
      </c>
      <c r="R47" s="705">
        <v>2.8532608695652172E-2</v>
      </c>
      <c r="S47" s="705"/>
      <c r="T47" s="705">
        <v>2.7972027972027972E-2</v>
      </c>
      <c r="U47" s="705">
        <v>3.1930333817126268E-2</v>
      </c>
      <c r="V47" s="705"/>
      <c r="W47" s="705">
        <v>3.3707865168539325E-2</v>
      </c>
      <c r="X47" s="705">
        <v>6.3202247191011238E-2</v>
      </c>
      <c r="Y47" s="705">
        <v>2.887988826815642E-2</v>
      </c>
      <c r="Z47" s="705"/>
      <c r="AA47" s="705">
        <v>0.2203626220362622</v>
      </c>
      <c r="AB47" s="705">
        <v>0.13307493540051679</v>
      </c>
      <c r="AC47" s="705">
        <v>0.10654685494223363</v>
      </c>
      <c r="AD47" s="705">
        <v>0.10494571773220748</v>
      </c>
      <c r="AE47" s="705"/>
      <c r="AF47" s="705">
        <v>3.0681818181818182E-2</v>
      </c>
      <c r="AG47" s="884"/>
      <c r="AH47" s="884"/>
      <c r="AI47" s="796"/>
      <c r="AJ47" s="889"/>
      <c r="AK47" s="889"/>
      <c r="AL47" s="609"/>
    </row>
    <row r="48" spans="1:44" x14ac:dyDescent="0.2">
      <c r="A48" s="707" t="s">
        <v>177</v>
      </c>
      <c r="AL48" s="578"/>
    </row>
    <row r="49" spans="1:38" ht="14.25" x14ac:dyDescent="0.2">
      <c r="A49" s="709" t="s">
        <v>180</v>
      </c>
    </row>
    <row r="50" spans="1:38" ht="14.25" x14ac:dyDescent="0.2">
      <c r="A50" s="965" t="s">
        <v>209</v>
      </c>
    </row>
    <row r="51" spans="1:38" x14ac:dyDescent="0.2">
      <c r="A51" t="s">
        <v>197</v>
      </c>
      <c r="N51" t="s">
        <v>136</v>
      </c>
    </row>
    <row r="54" spans="1:38" s="749" customFormat="1" x14ac:dyDescent="0.2">
      <c r="A54" s="752" t="s">
        <v>46</v>
      </c>
      <c r="B54" s="750">
        <f t="shared" ref="B54:L54" si="4">B20+B21+B24-B31-B38-B43</f>
        <v>0</v>
      </c>
      <c r="C54" s="749">
        <f t="shared" si="4"/>
        <v>0</v>
      </c>
      <c r="D54" s="749">
        <f t="shared" si="4"/>
        <v>0</v>
      </c>
      <c r="E54" s="749">
        <f t="shared" si="4"/>
        <v>0</v>
      </c>
      <c r="F54" s="749">
        <f t="shared" si="4"/>
        <v>0</v>
      </c>
      <c r="G54" s="750">
        <f t="shared" si="4"/>
        <v>2.8421709430404007E-14</v>
      </c>
      <c r="H54" s="750">
        <f t="shared" si="4"/>
        <v>5.6843418860808015E-14</v>
      </c>
      <c r="I54" s="749">
        <f t="shared" si="4"/>
        <v>0</v>
      </c>
      <c r="J54" s="750">
        <f t="shared" si="4"/>
        <v>-1.1368683772161603E-13</v>
      </c>
      <c r="K54" s="749">
        <f t="shared" si="4"/>
        <v>0</v>
      </c>
      <c r="L54" s="749">
        <f t="shared" si="4"/>
        <v>0</v>
      </c>
      <c r="M54" s="750">
        <f>M20+M21+M24+M23-M31-M38-M43</f>
        <v>0</v>
      </c>
      <c r="N54" s="750">
        <f t="shared" ref="N54:AL54" si="5">N20+N21+N24+N23-N31-N38-N43</f>
        <v>0</v>
      </c>
      <c r="O54" s="750">
        <f t="shared" si="5"/>
        <v>0</v>
      </c>
      <c r="P54" s="750">
        <f t="shared" si="5"/>
        <v>0</v>
      </c>
      <c r="Q54" s="750">
        <f t="shared" si="5"/>
        <v>0</v>
      </c>
      <c r="R54" s="750">
        <f t="shared" si="5"/>
        <v>0</v>
      </c>
      <c r="S54" s="750">
        <f t="shared" si="5"/>
        <v>1.1368683772161603E-13</v>
      </c>
      <c r="T54" s="750">
        <f t="shared" si="5"/>
        <v>0</v>
      </c>
      <c r="U54" s="750">
        <f t="shared" si="5"/>
        <v>0</v>
      </c>
      <c r="V54" s="750">
        <f t="shared" si="5"/>
        <v>0</v>
      </c>
      <c r="W54" s="750">
        <f t="shared" si="5"/>
        <v>0</v>
      </c>
      <c r="X54" s="750">
        <f t="shared" si="5"/>
        <v>0</v>
      </c>
      <c r="Y54" s="750">
        <f t="shared" si="5"/>
        <v>0</v>
      </c>
      <c r="Z54" s="750">
        <f t="shared" si="5"/>
        <v>0</v>
      </c>
      <c r="AA54" s="750">
        <f t="shared" si="5"/>
        <v>0</v>
      </c>
      <c r="AB54" s="750">
        <f t="shared" si="5"/>
        <v>0</v>
      </c>
      <c r="AC54" s="750">
        <f t="shared" si="5"/>
        <v>0</v>
      </c>
      <c r="AD54" s="750">
        <f t="shared" si="5"/>
        <v>0</v>
      </c>
      <c r="AE54" s="750">
        <f t="shared" si="5"/>
        <v>0</v>
      </c>
      <c r="AF54" s="750">
        <f t="shared" si="5"/>
        <v>0</v>
      </c>
      <c r="AG54" s="750"/>
      <c r="AH54" s="750"/>
      <c r="AI54" s="750"/>
      <c r="AJ54" s="750"/>
      <c r="AK54" s="750"/>
      <c r="AL54" s="750">
        <f t="shared" si="5"/>
        <v>0.56510684009105672</v>
      </c>
    </row>
  </sheetData>
  <phoneticPr fontId="3" type="noConversion"/>
  <pageMargins left="0.78740157499999996" right="0.78740157499999996" top="0.984251969" bottom="0.984251969" header="0.4921259845" footer="0.4921259845"/>
  <pageSetup paperSize="9" scale="5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R53"/>
  <sheetViews>
    <sheetView showGridLines="0" zoomScale="115" zoomScaleNormal="115" zoomScaleSheetLayoutView="110" workbookViewId="0">
      <pane ySplit="3" topLeftCell="A19" activePane="bottomLeft" state="frozen"/>
      <selection activeCell="Q1" sqref="Q1"/>
      <selection pane="bottomLeft" activeCell="A53" sqref="A53:XFD53"/>
    </sheetView>
  </sheetViews>
  <sheetFormatPr baseColWidth="10" defaultRowHeight="12.75" outlineLevelCol="3" x14ac:dyDescent="0.2"/>
  <cols>
    <col min="1" max="1" width="46.7109375" customWidth="1"/>
    <col min="2" max="3" width="12.42578125" hidden="1" customWidth="1" outlineLevel="2"/>
    <col min="4" max="4" width="13.28515625" hidden="1" customWidth="1" outlineLevel="2"/>
    <col min="5" max="5" width="12.42578125" hidden="1" customWidth="1" outlineLevel="2"/>
    <col min="6" max="6" width="12.42578125" hidden="1" customWidth="1" outlineLevel="3"/>
    <col min="7" max="7" width="13.140625" hidden="1" customWidth="1" outlineLevel="3"/>
    <col min="8" max="8" width="12.42578125" hidden="1" customWidth="1" outlineLevel="2" collapsed="1"/>
    <col min="9" max="11" width="18.7109375" hidden="1" customWidth="1" outlineLevel="3"/>
    <col min="12" max="12" width="13.7109375" hidden="1" customWidth="1" outlineLevel="2" collapsed="1"/>
    <col min="13" max="13" width="18.7109375" hidden="1" customWidth="1" outlineLevel="1" collapsed="1"/>
    <col min="14" max="16" width="18.7109375" hidden="1" customWidth="1" outlineLevel="1"/>
    <col min="17" max="17" width="13.7109375" hidden="1" customWidth="1" collapsed="1"/>
    <col min="18" max="22" width="18.7109375" hidden="1" customWidth="1" outlineLevel="1"/>
    <col min="23" max="23" width="13.7109375" hidden="1" customWidth="1" collapsed="1"/>
    <col min="24" max="27" width="18.7109375" hidden="1" customWidth="1" outlineLevel="1"/>
    <col min="28" max="28" width="13.7109375" hidden="1" customWidth="1" collapsed="1"/>
    <col min="29" max="29" width="12.85546875" hidden="1" customWidth="1" outlineLevel="1"/>
    <col min="30" max="30" width="15.28515625" hidden="1" customWidth="1" outlineLevel="1"/>
    <col min="31" max="32" width="13.28515625" hidden="1" customWidth="1" outlineLevel="1"/>
    <col min="33" max="33" width="12.5703125" hidden="1" customWidth="1" outlineLevel="1"/>
    <col min="34" max="34" width="12.7109375" hidden="1" customWidth="1" outlineLevel="1"/>
    <col min="35" max="35" width="13.7109375" hidden="1" customWidth="1"/>
    <col min="36" max="36" width="12.5703125" hidden="1" customWidth="1" outlineLevel="1"/>
    <col min="37" max="39" width="13.7109375" hidden="1" customWidth="1" outlineLevel="1"/>
    <col min="40" max="40" width="13.7109375" customWidth="1" collapsed="1"/>
    <col min="41" max="42" width="13.42578125" customWidth="1"/>
    <col min="43" max="43" width="12.5703125" customWidth="1"/>
  </cols>
  <sheetData>
    <row r="1" spans="1:44" ht="60" customHeight="1" x14ac:dyDescent="0.2"/>
    <row r="2" spans="1:44" ht="20.25" customHeight="1" x14ac:dyDescent="0.3">
      <c r="A2" s="13" t="s">
        <v>0</v>
      </c>
      <c r="B2" s="14" t="s">
        <v>28</v>
      </c>
      <c r="C2" s="14" t="s">
        <v>75</v>
      </c>
      <c r="D2" s="14" t="s">
        <v>76</v>
      </c>
      <c r="E2" s="14" t="s">
        <v>77</v>
      </c>
      <c r="F2" s="14" t="s">
        <v>78</v>
      </c>
      <c r="G2" s="1125" t="s">
        <v>80</v>
      </c>
      <c r="H2" s="1128" t="s">
        <v>80</v>
      </c>
      <c r="I2" s="1128" t="s">
        <v>81</v>
      </c>
      <c r="J2" s="1128" t="s">
        <v>81</v>
      </c>
      <c r="K2" s="1128" t="s">
        <v>81</v>
      </c>
      <c r="L2" s="1128" t="s">
        <v>85</v>
      </c>
      <c r="M2" s="1128" t="s">
        <v>86</v>
      </c>
      <c r="N2" s="1128" t="s">
        <v>86</v>
      </c>
      <c r="O2" s="1128" t="s">
        <v>49</v>
      </c>
      <c r="P2" s="1128" t="s">
        <v>49</v>
      </c>
      <c r="Q2" s="1128" t="s">
        <v>89</v>
      </c>
      <c r="R2" s="1128" t="s">
        <v>94</v>
      </c>
      <c r="S2" s="1128" t="s">
        <v>92</v>
      </c>
      <c r="T2" s="1128" t="s">
        <v>92</v>
      </c>
      <c r="U2" s="1128" t="s">
        <v>94</v>
      </c>
      <c r="V2" s="1128" t="s">
        <v>96</v>
      </c>
      <c r="W2" s="1128" t="s">
        <v>96</v>
      </c>
      <c r="X2" s="1128" t="s">
        <v>98</v>
      </c>
      <c r="Y2" s="1128" t="s">
        <v>51</v>
      </c>
      <c r="Z2" s="1128" t="s">
        <v>51</v>
      </c>
      <c r="AA2" s="1128" t="s">
        <v>102</v>
      </c>
      <c r="AB2" s="1129" t="s">
        <v>104</v>
      </c>
      <c r="AC2" s="1128" t="s">
        <v>52</v>
      </c>
      <c r="AD2" s="1128" t="s">
        <v>106</v>
      </c>
      <c r="AE2" s="1129" t="s">
        <v>106</v>
      </c>
      <c r="AF2" s="1129" t="s">
        <v>106</v>
      </c>
      <c r="AG2" s="1129" t="s">
        <v>106</v>
      </c>
      <c r="AH2" s="1129" t="s">
        <v>106</v>
      </c>
      <c r="AI2" s="1129" t="s">
        <v>135</v>
      </c>
      <c r="AJ2" s="1129" t="s">
        <v>205</v>
      </c>
      <c r="AK2" s="1129" t="s">
        <v>213</v>
      </c>
      <c r="AL2" s="1129" t="s">
        <v>213</v>
      </c>
      <c r="AM2" s="1129" t="s">
        <v>213</v>
      </c>
      <c r="AN2" s="1129" t="s">
        <v>203</v>
      </c>
      <c r="AO2" s="1129" t="s">
        <v>203</v>
      </c>
      <c r="AP2" s="1129" t="s">
        <v>250</v>
      </c>
      <c r="AQ2" s="1126" t="s">
        <v>53</v>
      </c>
    </row>
    <row r="3" spans="1:44" ht="24" customHeight="1" x14ac:dyDescent="0.2">
      <c r="A3" s="15"/>
      <c r="B3" s="15"/>
      <c r="C3" s="15"/>
      <c r="D3" s="15"/>
      <c r="E3" s="15"/>
      <c r="F3" s="15"/>
      <c r="G3" s="15" t="s">
        <v>79</v>
      </c>
      <c r="H3" s="1130"/>
      <c r="I3" s="1130" t="s">
        <v>82</v>
      </c>
      <c r="J3" s="1130" t="s">
        <v>83</v>
      </c>
      <c r="K3" s="1130" t="s">
        <v>84</v>
      </c>
      <c r="L3" s="1130"/>
      <c r="M3" s="1130" t="s">
        <v>69</v>
      </c>
      <c r="N3" s="1130" t="s">
        <v>71</v>
      </c>
      <c r="O3" s="1130" t="s">
        <v>87</v>
      </c>
      <c r="P3" s="1130" t="s">
        <v>88</v>
      </c>
      <c r="Q3" s="1130"/>
      <c r="R3" s="1131" t="s">
        <v>90</v>
      </c>
      <c r="S3" s="1131" t="s">
        <v>91</v>
      </c>
      <c r="T3" s="1131" t="s">
        <v>93</v>
      </c>
      <c r="U3" s="1131" t="s">
        <v>95</v>
      </c>
      <c r="V3" s="1131" t="s">
        <v>97</v>
      </c>
      <c r="W3" s="1130"/>
      <c r="X3" s="1131" t="s">
        <v>99</v>
      </c>
      <c r="Y3" s="1131" t="s">
        <v>100</v>
      </c>
      <c r="Z3" s="1131" t="s">
        <v>101</v>
      </c>
      <c r="AA3" s="1131" t="s">
        <v>103</v>
      </c>
      <c r="AB3" s="1132"/>
      <c r="AC3" s="1131" t="s">
        <v>105</v>
      </c>
      <c r="AD3" s="1131" t="s">
        <v>107</v>
      </c>
      <c r="AE3" s="1132" t="s">
        <v>156</v>
      </c>
      <c r="AF3" s="1132" t="s">
        <v>190</v>
      </c>
      <c r="AG3" s="1132" t="s">
        <v>198</v>
      </c>
      <c r="AH3" s="1132" t="s">
        <v>207</v>
      </c>
      <c r="AI3" s="1132" t="s">
        <v>229</v>
      </c>
      <c r="AJ3" s="1132" t="s">
        <v>207</v>
      </c>
      <c r="AK3" s="1132" t="s">
        <v>239</v>
      </c>
      <c r="AL3" s="1132" t="s">
        <v>240</v>
      </c>
      <c r="AM3" s="1132" t="s">
        <v>242</v>
      </c>
      <c r="AN3" s="1132" t="s">
        <v>261</v>
      </c>
      <c r="AO3" s="1132" t="s">
        <v>252</v>
      </c>
      <c r="AP3" s="1132" t="s">
        <v>264</v>
      </c>
      <c r="AQ3" s="1127"/>
    </row>
    <row r="4" spans="1:44" s="4" customFormat="1" ht="20.25" customHeight="1" x14ac:dyDescent="0.2">
      <c r="A4" s="692"/>
      <c r="B4" s="692"/>
      <c r="C4" s="692"/>
      <c r="D4" s="692"/>
      <c r="E4" s="692"/>
      <c r="F4" s="692"/>
      <c r="G4" s="692"/>
      <c r="H4" s="692"/>
      <c r="I4" s="692"/>
      <c r="J4" s="692"/>
      <c r="K4" s="692"/>
      <c r="L4" s="693"/>
      <c r="M4" s="694"/>
      <c r="N4" s="694"/>
      <c r="O4" s="694"/>
      <c r="P4" s="694"/>
      <c r="Q4" s="694"/>
      <c r="R4" s="695"/>
      <c r="S4" s="695"/>
      <c r="T4" s="695"/>
      <c r="U4" s="695"/>
      <c r="V4" s="695"/>
      <c r="W4" s="694"/>
      <c r="X4" s="695"/>
      <c r="Y4" s="695"/>
      <c r="Z4" s="695"/>
      <c r="AA4" s="695"/>
      <c r="AB4" s="696"/>
      <c r="AC4" s="695"/>
      <c r="AD4" s="695"/>
      <c r="AE4" s="696"/>
      <c r="AF4" s="798"/>
      <c r="AG4" s="798"/>
      <c r="AH4" s="798"/>
      <c r="AI4" s="798"/>
      <c r="AJ4" s="798"/>
      <c r="AK4" s="798"/>
      <c r="AL4" s="798"/>
      <c r="AM4" s="798"/>
      <c r="AN4" s="1688"/>
      <c r="AO4" s="1515"/>
      <c r="AP4" s="1515"/>
      <c r="AQ4" s="1608"/>
    </row>
    <row r="5" spans="1:44" s="4" customFormat="1" ht="20.25" customHeight="1" x14ac:dyDescent="0.2">
      <c r="A5" s="692"/>
      <c r="B5" s="692"/>
      <c r="C5" s="692"/>
      <c r="D5" s="692"/>
      <c r="E5" s="692"/>
      <c r="F5" s="692"/>
      <c r="G5" s="692"/>
      <c r="H5" s="692"/>
      <c r="I5" s="692"/>
      <c r="J5" s="692"/>
      <c r="K5" s="692"/>
      <c r="L5" s="693"/>
      <c r="M5" s="694"/>
      <c r="N5" s="694"/>
      <c r="O5" s="694"/>
      <c r="P5" s="694"/>
      <c r="Q5" s="694"/>
      <c r="R5" s="695"/>
      <c r="S5" s="695"/>
      <c r="T5" s="695"/>
      <c r="U5" s="695"/>
      <c r="V5" s="695"/>
      <c r="W5" s="694"/>
      <c r="X5" s="695"/>
      <c r="Y5" s="695"/>
      <c r="Z5" s="695"/>
      <c r="AA5" s="695"/>
      <c r="AB5" s="696"/>
      <c r="AC5" s="695"/>
      <c r="AD5" s="695"/>
      <c r="AE5" s="696"/>
      <c r="AF5" s="798"/>
      <c r="AG5" s="798"/>
      <c r="AH5" s="798"/>
      <c r="AI5" s="798"/>
      <c r="AJ5" s="798"/>
      <c r="AK5" s="798"/>
      <c r="AL5" s="798"/>
      <c r="AM5" s="798"/>
      <c r="AN5" s="1688"/>
      <c r="AO5" s="1515"/>
      <c r="AP5" s="1515"/>
      <c r="AQ5" s="1608"/>
    </row>
    <row r="6" spans="1:44" ht="18.75" customHeight="1" x14ac:dyDescent="0.25">
      <c r="A6" s="61" t="s">
        <v>1</v>
      </c>
      <c r="B6" s="30"/>
      <c r="C6" s="62"/>
      <c r="D6" s="62"/>
      <c r="E6" s="62"/>
      <c r="F6" s="62"/>
      <c r="G6" s="62"/>
      <c r="H6" s="62"/>
      <c r="I6" s="62"/>
      <c r="J6" s="62"/>
      <c r="K6" s="62"/>
      <c r="L6" s="971" t="s">
        <v>54</v>
      </c>
      <c r="M6" s="285"/>
      <c r="N6" s="285"/>
      <c r="O6" s="285"/>
      <c r="P6" s="285"/>
      <c r="Q6" s="972" t="s">
        <v>54</v>
      </c>
      <c r="R6" s="285"/>
      <c r="S6" s="285"/>
      <c r="T6" s="285"/>
      <c r="U6" s="285"/>
      <c r="V6" s="285"/>
      <c r="W6" s="972" t="s">
        <v>54</v>
      </c>
      <c r="X6" s="285"/>
      <c r="Y6" s="285"/>
      <c r="Z6" s="285"/>
      <c r="AA6" s="285"/>
      <c r="AB6" s="972" t="s">
        <v>55</v>
      </c>
      <c r="AC6" s="285"/>
      <c r="AD6" s="285"/>
      <c r="AE6" s="972" t="s">
        <v>55</v>
      </c>
      <c r="AF6" s="972" t="s">
        <v>55</v>
      </c>
      <c r="AG6" s="972" t="s">
        <v>55</v>
      </c>
      <c r="AH6" s="890"/>
      <c r="AI6" s="890"/>
      <c r="AJ6" s="890"/>
      <c r="AK6" s="890"/>
      <c r="AL6" s="890"/>
      <c r="AM6" s="890"/>
      <c r="AN6" s="1689"/>
      <c r="AO6" s="155"/>
      <c r="AP6" s="155"/>
      <c r="AQ6" s="1609"/>
    </row>
    <row r="7" spans="1:44" s="4" customFormat="1" ht="18" customHeight="1" x14ac:dyDescent="0.25">
      <c r="A7" s="63"/>
      <c r="B7" s="64"/>
      <c r="C7" s="65"/>
      <c r="D7" s="65"/>
      <c r="E7" s="65"/>
      <c r="F7" s="65"/>
      <c r="G7" s="65"/>
      <c r="H7" s="65"/>
      <c r="I7" s="65"/>
      <c r="J7" s="65"/>
      <c r="K7" s="65"/>
      <c r="L7" s="288"/>
      <c r="M7" s="289"/>
      <c r="N7" s="289"/>
      <c r="O7" s="289"/>
      <c r="P7" s="289"/>
      <c r="Q7" s="290"/>
      <c r="R7" s="289"/>
      <c r="S7" s="289"/>
      <c r="T7" s="289"/>
      <c r="U7" s="289"/>
      <c r="V7" s="289"/>
      <c r="W7" s="290"/>
      <c r="X7" s="289"/>
      <c r="Y7" s="289"/>
      <c r="Z7" s="289"/>
      <c r="AA7" s="289"/>
      <c r="AB7" s="1001"/>
      <c r="AC7" s="289"/>
      <c r="AD7" s="289"/>
      <c r="AE7" s="1067"/>
      <c r="AF7" s="891"/>
      <c r="AG7" s="891"/>
      <c r="AH7" s="1000"/>
      <c r="AI7" s="1001"/>
      <c r="AJ7" s="1420"/>
      <c r="AK7" s="1420"/>
      <c r="AL7" s="1420"/>
      <c r="AM7" s="1001"/>
      <c r="AN7" s="1690"/>
      <c r="AO7" s="1516"/>
      <c r="AP7" s="1516"/>
      <c r="AQ7" s="1608"/>
      <c r="AR7" s="1541"/>
    </row>
    <row r="8" spans="1:44" ht="15" x14ac:dyDescent="0.25">
      <c r="A8" s="66" t="s">
        <v>57</v>
      </c>
      <c r="B8" s="1179">
        <v>237.26499999999999</v>
      </c>
      <c r="C8" s="1179">
        <v>160.70400000000001</v>
      </c>
      <c r="D8" s="1179">
        <v>97.03</v>
      </c>
      <c r="E8" s="1179">
        <v>109.898</v>
      </c>
      <c r="F8" s="22">
        <v>245.738</v>
      </c>
      <c r="G8" s="22">
        <v>243.77799999999999</v>
      </c>
      <c r="H8" s="1179">
        <v>239.517</v>
      </c>
      <c r="I8" s="22">
        <v>189</v>
      </c>
      <c r="J8" s="22">
        <v>185.02500000000001</v>
      </c>
      <c r="K8" s="22">
        <v>184</v>
      </c>
      <c r="L8" s="1182">
        <v>183.45599999999999</v>
      </c>
      <c r="M8" s="293">
        <v>135</v>
      </c>
      <c r="N8" s="293">
        <v>134</v>
      </c>
      <c r="O8" s="293">
        <v>134</v>
      </c>
      <c r="P8" s="293">
        <v>133</v>
      </c>
      <c r="Q8" s="1269">
        <v>134.1</v>
      </c>
      <c r="R8" s="1269">
        <v>132</v>
      </c>
      <c r="S8" s="1269">
        <v>120</v>
      </c>
      <c r="T8" s="1269">
        <v>120</v>
      </c>
      <c r="U8" s="1269">
        <v>121</v>
      </c>
      <c r="V8" s="1269">
        <v>120</v>
      </c>
      <c r="W8" s="1269">
        <v>119.52200000000001</v>
      </c>
      <c r="X8" s="1269">
        <v>122</v>
      </c>
      <c r="Y8" s="1269">
        <v>138</v>
      </c>
      <c r="Z8" s="1269">
        <v>138</v>
      </c>
      <c r="AA8" s="1269">
        <v>138</v>
      </c>
      <c r="AB8" s="1269">
        <v>139.46299999999999</v>
      </c>
      <c r="AC8" s="1269">
        <v>160</v>
      </c>
      <c r="AD8" s="1269">
        <v>153</v>
      </c>
      <c r="AE8" s="1269">
        <v>155</v>
      </c>
      <c r="AF8" s="1270">
        <v>158</v>
      </c>
      <c r="AG8" s="1270">
        <v>160</v>
      </c>
      <c r="AH8" s="1270">
        <v>176</v>
      </c>
      <c r="AI8" s="1269">
        <v>175.803</v>
      </c>
      <c r="AJ8" s="1340">
        <v>180</v>
      </c>
      <c r="AK8" s="1421">
        <v>185.33</v>
      </c>
      <c r="AL8" s="1354">
        <v>190.33500000000001</v>
      </c>
      <c r="AM8" s="1304">
        <v>208.66499999999999</v>
      </c>
      <c r="AN8" s="1658">
        <v>215.86099999999996</v>
      </c>
      <c r="AO8" s="1304">
        <v>217.86099999999999</v>
      </c>
      <c r="AP8" s="1510">
        <v>207.899</v>
      </c>
      <c r="AQ8" s="1610">
        <f>AP8/AO8-1</f>
        <v>-4.5726403532527549E-2</v>
      </c>
      <c r="AR8" s="1270"/>
    </row>
    <row r="9" spans="1:44" ht="15" x14ac:dyDescent="0.25">
      <c r="A9" s="66" t="s">
        <v>58</v>
      </c>
      <c r="B9" s="1180">
        <f t="shared" ref="B9:Q9" si="0">IF(B8="","",(B10/B8)*10)</f>
        <v>42.333045329062443</v>
      </c>
      <c r="C9" s="1180">
        <f t="shared" si="0"/>
        <v>36.41054360812425</v>
      </c>
      <c r="D9" s="1180">
        <f t="shared" si="0"/>
        <v>45.489333195918782</v>
      </c>
      <c r="E9" s="1180">
        <f t="shared" si="0"/>
        <v>48.747474931299941</v>
      </c>
      <c r="F9" s="20">
        <f t="shared" si="0"/>
        <v>44.281348428000555</v>
      </c>
      <c r="G9" s="20">
        <f t="shared" si="0"/>
        <v>44.47415271271403</v>
      </c>
      <c r="H9" s="1180">
        <f t="shared" si="0"/>
        <v>44.640046426767199</v>
      </c>
      <c r="I9" s="20">
        <f t="shared" si="0"/>
        <v>35.710052910052909</v>
      </c>
      <c r="J9" s="20">
        <f t="shared" si="0"/>
        <v>35.763004999324416</v>
      </c>
      <c r="K9" s="20">
        <f t="shared" si="0"/>
        <v>35.799999999999997</v>
      </c>
      <c r="L9" s="1183">
        <f t="shared" si="0"/>
        <v>36.160550758765041</v>
      </c>
      <c r="M9" s="296">
        <f t="shared" si="0"/>
        <v>44</v>
      </c>
      <c r="N9" s="296">
        <f t="shared" si="0"/>
        <v>43.000000000000007</v>
      </c>
      <c r="O9" s="296">
        <f t="shared" si="0"/>
        <v>42.089552238805972</v>
      </c>
      <c r="P9" s="296">
        <f t="shared" si="0"/>
        <v>41.578947368421055</v>
      </c>
      <c r="Q9" s="1271">
        <f t="shared" si="0"/>
        <v>41.21163310961969</v>
      </c>
      <c r="R9" s="1271">
        <f>IF(R8="","",(R10/R8))*10</f>
        <v>43.999999999999993</v>
      </c>
      <c r="S9" s="1271">
        <f>IF(S8="","",(S10/S8))*10</f>
        <v>43.75</v>
      </c>
      <c r="T9" s="1271">
        <f>IF(T8="","",(T10/T8))*10</f>
        <v>41.416666666666664</v>
      </c>
      <c r="U9" s="1271">
        <f>IF(U8="","",(U10/U8))*10</f>
        <v>40.578512396694215</v>
      </c>
      <c r="V9" s="1271">
        <f>IF(V8="","",(V10/V8))*10</f>
        <v>40.916666666666671</v>
      </c>
      <c r="W9" s="1271">
        <f>IF(W8="","",(W10/W8)*10)</f>
        <v>40.833654055320359</v>
      </c>
      <c r="X9" s="1271">
        <f>IF(X8="","",(X10/X8))*10</f>
        <v>42.3</v>
      </c>
      <c r="Y9" s="1271">
        <f>IF(Y8="","",(Y10/Y8))*10</f>
        <v>37.753623188405797</v>
      </c>
      <c r="Z9" s="1271">
        <f>IF(Z8="","",(Z10/Z8))*10</f>
        <v>37.971014492753625</v>
      </c>
      <c r="AA9" s="1271">
        <f>IF(AA8="","",(AA10/AA8))*10</f>
        <v>37.826086956521735</v>
      </c>
      <c r="AB9" s="1271">
        <f>IF(AB8="","",(AB10/AB8)*10)</f>
        <v>37.88201888672981</v>
      </c>
      <c r="AC9" s="1271">
        <f>IF(AC8="","",(AC10/AC8))*10</f>
        <v>40.099999999999994</v>
      </c>
      <c r="AD9" s="1271">
        <f>IF(AD8="","",(AD10/AD8))*10</f>
        <v>38.299999999999997</v>
      </c>
      <c r="AE9" s="1271">
        <f>IF(AE8="","",(AE10/AE8)*10)</f>
        <v>39.096774193548384</v>
      </c>
      <c r="AF9" s="1272">
        <f>IF(AF8="","",(AF10/AF8)*10)</f>
        <v>38.797468354430379</v>
      </c>
      <c r="AG9" s="1272">
        <f>AG10/AG8*10</f>
        <v>38.4375</v>
      </c>
      <c r="AH9" s="1272">
        <v>38.68</v>
      </c>
      <c r="AI9" s="1271">
        <f>(AI10/AI8)*10</f>
        <v>37.636615984937684</v>
      </c>
      <c r="AJ9" s="1422">
        <v>31</v>
      </c>
      <c r="AK9" s="1423">
        <f>(AK10/AK8)*10</f>
        <v>24.586413424701881</v>
      </c>
      <c r="AL9" s="1422">
        <v>25.984033414768703</v>
      </c>
      <c r="AM9" s="1312">
        <f>AM10/AM8*10</f>
        <v>25.158220113579187</v>
      </c>
      <c r="AN9" s="1691">
        <f>AN10/AN8*10</f>
        <v>25.591264749074639</v>
      </c>
      <c r="AO9" s="1312">
        <f>AO10/AO8*10</f>
        <v>25.448134360899843</v>
      </c>
      <c r="AP9" s="166">
        <f>AP10/AP8*10</f>
        <v>35.94456923794727</v>
      </c>
      <c r="AQ9" s="1610">
        <f>AP9/AO9-1</f>
        <v>0.41246382654969116</v>
      </c>
    </row>
    <row r="10" spans="1:44" ht="15" x14ac:dyDescent="0.25">
      <c r="A10" s="66" t="s">
        <v>56</v>
      </c>
      <c r="B10" s="1181">
        <v>1004.415</v>
      </c>
      <c r="C10" s="1181">
        <v>585.13199999999995</v>
      </c>
      <c r="D10" s="1181">
        <v>441.38299999999998</v>
      </c>
      <c r="E10" s="1181">
        <v>535.72500000000002</v>
      </c>
      <c r="F10" s="23">
        <v>1088.1610000000001</v>
      </c>
      <c r="G10" s="23">
        <v>1084.182</v>
      </c>
      <c r="H10" s="1181">
        <v>1069.2049999999999</v>
      </c>
      <c r="I10" s="23">
        <v>674.92</v>
      </c>
      <c r="J10" s="23">
        <v>661.70500000000004</v>
      </c>
      <c r="K10" s="23">
        <v>658.72</v>
      </c>
      <c r="L10" s="1184">
        <v>663.38699999999994</v>
      </c>
      <c r="M10" s="298">
        <v>594</v>
      </c>
      <c r="N10" s="298">
        <v>576.20000000000005</v>
      </c>
      <c r="O10" s="298">
        <v>564</v>
      </c>
      <c r="P10" s="298">
        <v>553</v>
      </c>
      <c r="Q10" s="1273">
        <v>552.64800000000002</v>
      </c>
      <c r="R10" s="1273">
        <v>580.79999999999995</v>
      </c>
      <c r="S10" s="1273">
        <v>525</v>
      </c>
      <c r="T10" s="1273">
        <v>497</v>
      </c>
      <c r="U10" s="1273">
        <v>491</v>
      </c>
      <c r="V10" s="1273">
        <v>491</v>
      </c>
      <c r="W10" s="1273">
        <v>488.05200000000002</v>
      </c>
      <c r="X10" s="1273">
        <v>516.05999999999995</v>
      </c>
      <c r="Y10" s="1273">
        <v>521</v>
      </c>
      <c r="Z10" s="1273">
        <v>524</v>
      </c>
      <c r="AA10" s="1273">
        <v>522</v>
      </c>
      <c r="AB10" s="1273">
        <v>528.31399999999996</v>
      </c>
      <c r="AC10" s="1273">
        <v>641.6</v>
      </c>
      <c r="AD10" s="1273">
        <v>585.99</v>
      </c>
      <c r="AE10" s="1273">
        <v>606</v>
      </c>
      <c r="AF10" s="1274">
        <v>613</v>
      </c>
      <c r="AG10" s="1274">
        <v>615</v>
      </c>
      <c r="AH10" s="1274">
        <f>AH8*AH9/10</f>
        <v>680.76800000000003</v>
      </c>
      <c r="AI10" s="1273">
        <v>661.66300000000001</v>
      </c>
      <c r="AJ10" s="1424">
        <f>AJ8*AJ9/10</f>
        <v>558</v>
      </c>
      <c r="AK10" s="1425">
        <v>455.66</v>
      </c>
      <c r="AL10" s="1354">
        <v>494.56709999999998</v>
      </c>
      <c r="AM10" s="1304">
        <v>524.96400000000006</v>
      </c>
      <c r="AN10" s="1658">
        <v>552.41560000000004</v>
      </c>
      <c r="AO10" s="1304">
        <v>554.41560000000004</v>
      </c>
      <c r="AP10" s="1510">
        <v>747.28399999999999</v>
      </c>
      <c r="AQ10" s="1610">
        <f>AP10/AO10-1</f>
        <v>0.3478769356417819</v>
      </c>
    </row>
    <row r="11" spans="1:44" ht="15" x14ac:dyDescent="0.25">
      <c r="A11" s="66"/>
      <c r="B11" s="23"/>
      <c r="C11" s="67"/>
      <c r="D11" s="67"/>
      <c r="E11" s="67"/>
      <c r="F11" s="67"/>
      <c r="G11" s="67"/>
      <c r="H11" s="67"/>
      <c r="I11" s="67"/>
      <c r="J11" s="67"/>
      <c r="K11" s="67"/>
      <c r="L11" s="299"/>
      <c r="M11" s="300"/>
      <c r="N11" s="300"/>
      <c r="O11" s="300"/>
      <c r="P11" s="300"/>
      <c r="Q11" s="300"/>
      <c r="R11" s="300"/>
      <c r="S11" s="300"/>
      <c r="T11" s="300"/>
      <c r="U11" s="300"/>
      <c r="V11" s="300"/>
      <c r="W11" s="300"/>
      <c r="X11" s="300"/>
      <c r="Y11" s="300"/>
      <c r="Z11" s="300"/>
      <c r="AA11" s="300"/>
      <c r="AB11" s="300"/>
      <c r="AC11" s="300"/>
      <c r="AD11" s="300"/>
      <c r="AE11" s="1056"/>
      <c r="AF11" s="895"/>
      <c r="AG11" s="895"/>
      <c r="AH11" s="1086"/>
      <c r="AI11" s="300"/>
      <c r="AJ11" s="1426"/>
      <c r="AK11" s="1427"/>
      <c r="AL11" s="1426"/>
      <c r="AM11" s="1313"/>
      <c r="AN11" s="1692"/>
      <c r="AO11" s="1313"/>
      <c r="AP11" s="1517"/>
      <c r="AQ11" s="1610"/>
    </row>
    <row r="12" spans="1:44" ht="14.25" x14ac:dyDescent="0.2">
      <c r="A12" s="68" t="s">
        <v>60</v>
      </c>
      <c r="B12" s="42">
        <f>IF(B21="","",B10-B21)</f>
        <v>106.72699999999998</v>
      </c>
      <c r="C12" s="42">
        <f t="shared" ref="C12:AE12" si="1">IF(C21="","",C10-C21)</f>
        <v>109.47799999999995</v>
      </c>
      <c r="D12" s="42">
        <f t="shared" si="1"/>
        <v>83.59499999999997</v>
      </c>
      <c r="E12" s="42">
        <f t="shared" si="1"/>
        <v>92.242000000000019</v>
      </c>
      <c r="F12" s="42">
        <f t="shared" si="1"/>
        <v>200.99400000000003</v>
      </c>
      <c r="G12" s="42">
        <f t="shared" si="1"/>
        <v>184.18200000000002</v>
      </c>
      <c r="H12" s="42">
        <f t="shared" si="1"/>
        <v>177.31399999999996</v>
      </c>
      <c r="I12" s="42">
        <f t="shared" si="1"/>
        <v>136.51</v>
      </c>
      <c r="J12" s="42">
        <f t="shared" si="1"/>
        <v>126.05500000000006</v>
      </c>
      <c r="K12" s="42">
        <f t="shared" si="1"/>
        <v>127.72000000000003</v>
      </c>
      <c r="L12" s="301">
        <f t="shared" si="1"/>
        <v>139.97899999999993</v>
      </c>
      <c r="M12" s="302">
        <f t="shared" si="1"/>
        <v>122</v>
      </c>
      <c r="N12" s="302">
        <f t="shared" si="1"/>
        <v>121.00000000000006</v>
      </c>
      <c r="O12" s="302">
        <f t="shared" si="1"/>
        <v>114</v>
      </c>
      <c r="P12" s="302">
        <f t="shared" si="1"/>
        <v>111</v>
      </c>
      <c r="Q12" s="302">
        <f t="shared" si="1"/>
        <v>111.28000000000003</v>
      </c>
      <c r="R12" s="302">
        <f t="shared" si="1"/>
        <v>116.15999999999997</v>
      </c>
      <c r="S12" s="302">
        <f t="shared" si="1"/>
        <v>102</v>
      </c>
      <c r="T12" s="302">
        <f t="shared" si="1"/>
        <v>108</v>
      </c>
      <c r="U12" s="302">
        <f t="shared" si="1"/>
        <v>105</v>
      </c>
      <c r="V12" s="302">
        <f t="shared" si="1"/>
        <v>95</v>
      </c>
      <c r="W12" s="302">
        <f t="shared" si="1"/>
        <v>96.31800000000004</v>
      </c>
      <c r="X12" s="302" t="str">
        <f t="shared" si="1"/>
        <v/>
      </c>
      <c r="Y12" s="302">
        <f t="shared" si="1"/>
        <v>107</v>
      </c>
      <c r="Z12" s="302">
        <f t="shared" si="1"/>
        <v>113</v>
      </c>
      <c r="AA12" s="302">
        <f t="shared" si="1"/>
        <v>121</v>
      </c>
      <c r="AB12" s="302">
        <f t="shared" si="1"/>
        <v>141.04099999999994</v>
      </c>
      <c r="AC12" s="302">
        <f t="shared" si="1"/>
        <v>128.60000000000002</v>
      </c>
      <c r="AD12" s="302">
        <f t="shared" si="1"/>
        <v>117.19799999999998</v>
      </c>
      <c r="AE12" s="1057">
        <f t="shared" si="1"/>
        <v>130</v>
      </c>
      <c r="AF12" s="896">
        <f>AF10-AF21</f>
        <v>131</v>
      </c>
      <c r="AG12" s="896">
        <f>AG10-AG21</f>
        <v>115</v>
      </c>
      <c r="AH12" s="1087">
        <f>AH10-AH21</f>
        <v>137.76800000000003</v>
      </c>
      <c r="AI12" s="302">
        <f>AI10-AI21</f>
        <v>155.12700000000001</v>
      </c>
      <c r="AJ12" s="1428"/>
      <c r="AK12" s="1429">
        <f t="shared" ref="AK12:AP12" si="2">AK10-AK21</f>
        <v>99.660000000000025</v>
      </c>
      <c r="AL12" s="1428">
        <f t="shared" si="2"/>
        <v>96.722099999999955</v>
      </c>
      <c r="AM12" s="1314">
        <f t="shared" si="2"/>
        <v>109.43900000000008</v>
      </c>
      <c r="AN12" s="1693">
        <f t="shared" si="2"/>
        <v>138.92547236230905</v>
      </c>
      <c r="AO12" s="1314">
        <f>AO10-AO21</f>
        <v>140.68960000000004</v>
      </c>
      <c r="AP12" s="1206">
        <f t="shared" si="2"/>
        <v>202.38349993829104</v>
      </c>
      <c r="AQ12" s="1611">
        <f>AP12/AO12-1</f>
        <v>0.43851073525186646</v>
      </c>
    </row>
    <row r="13" spans="1:44" ht="14.25" x14ac:dyDescent="0.2">
      <c r="A13" s="69" t="s">
        <v>61</v>
      </c>
      <c r="B13" s="59">
        <f>(B12/B10)</f>
        <v>0.10625787149733923</v>
      </c>
      <c r="C13" s="59">
        <f t="shared" ref="C13:AE13" si="3">(C12/C10)</f>
        <v>0.18709966298202793</v>
      </c>
      <c r="D13" s="59">
        <f t="shared" si="3"/>
        <v>0.18939333866505953</v>
      </c>
      <c r="E13" s="59">
        <f t="shared" si="3"/>
        <v>0.17218162303420601</v>
      </c>
      <c r="F13" s="24">
        <f t="shared" si="3"/>
        <v>0.18470979937711424</v>
      </c>
      <c r="G13" s="24">
        <f t="shared" si="3"/>
        <v>0.16988107162819527</v>
      </c>
      <c r="H13" s="59">
        <f t="shared" si="3"/>
        <v>0.16583723420672367</v>
      </c>
      <c r="I13" s="59">
        <f t="shared" si="3"/>
        <v>0.20226100871214367</v>
      </c>
      <c r="J13" s="59">
        <f t="shared" si="3"/>
        <v>0.19050029847137329</v>
      </c>
      <c r="K13" s="59">
        <f t="shared" si="3"/>
        <v>0.19389118290017007</v>
      </c>
      <c r="L13" s="303">
        <f t="shared" si="3"/>
        <v>0.21100654670652264</v>
      </c>
      <c r="M13" s="304">
        <f t="shared" si="3"/>
        <v>0.2053872053872054</v>
      </c>
      <c r="N13" s="304">
        <f t="shared" si="3"/>
        <v>0.20999652898299209</v>
      </c>
      <c r="O13" s="304">
        <f t="shared" si="3"/>
        <v>0.20212765957446807</v>
      </c>
      <c r="P13" s="304">
        <f t="shared" si="3"/>
        <v>0.2007233273056058</v>
      </c>
      <c r="Q13" s="304">
        <f t="shared" si="3"/>
        <v>0.20135782631982749</v>
      </c>
      <c r="R13" s="304">
        <f t="shared" si="3"/>
        <v>0.19999999999999996</v>
      </c>
      <c r="S13" s="304">
        <f t="shared" si="3"/>
        <v>0.19428571428571428</v>
      </c>
      <c r="T13" s="304">
        <f t="shared" si="3"/>
        <v>0.21730382293762576</v>
      </c>
      <c r="U13" s="304">
        <f t="shared" si="3"/>
        <v>0.21384928716904278</v>
      </c>
      <c r="V13" s="304">
        <f t="shared" si="3"/>
        <v>0.19348268839103869</v>
      </c>
      <c r="W13" s="304">
        <f t="shared" si="3"/>
        <v>0.19735192151655978</v>
      </c>
      <c r="X13" s="304" t="e">
        <f t="shared" si="3"/>
        <v>#VALUE!</v>
      </c>
      <c r="Y13" s="304">
        <f t="shared" si="3"/>
        <v>0.20537428023032631</v>
      </c>
      <c r="Z13" s="304">
        <f t="shared" si="3"/>
        <v>0.21564885496183206</v>
      </c>
      <c r="AA13" s="304">
        <f t="shared" si="3"/>
        <v>0.23180076628352492</v>
      </c>
      <c r="AB13" s="304">
        <f t="shared" si="3"/>
        <v>0.2669643431747028</v>
      </c>
      <c r="AC13" s="304">
        <f t="shared" si="3"/>
        <v>0.20043640897755613</v>
      </c>
      <c r="AD13" s="304">
        <f t="shared" si="3"/>
        <v>0.19999999999999996</v>
      </c>
      <c r="AE13" s="1058">
        <f t="shared" si="3"/>
        <v>0.21452145214521451</v>
      </c>
      <c r="AF13" s="897">
        <f>AF12/AF10</f>
        <v>0.21370309951060359</v>
      </c>
      <c r="AG13" s="897">
        <f>AG12/AG10</f>
        <v>0.18699186991869918</v>
      </c>
      <c r="AH13" s="1088">
        <f>AH12/AH10</f>
        <v>0.20237143931559654</v>
      </c>
      <c r="AI13" s="304">
        <f>AI12/AI10</f>
        <v>0.23445016571880248</v>
      </c>
      <c r="AJ13" s="1430"/>
      <c r="AK13" s="1431">
        <f t="shared" ref="AK13:AP13" si="4">AK12/AK10</f>
        <v>0.21871570908133262</v>
      </c>
      <c r="AL13" s="1430">
        <f t="shared" si="4"/>
        <v>0.19556921598707225</v>
      </c>
      <c r="AM13" s="1315">
        <f t="shared" si="4"/>
        <v>0.20846953314893987</v>
      </c>
      <c r="AN13" s="1694">
        <f t="shared" si="4"/>
        <v>0.25148723599099854</v>
      </c>
      <c r="AO13" s="1315">
        <f>AO12/AO10</f>
        <v>0.25376197928052535</v>
      </c>
      <c r="AP13" s="1509">
        <f t="shared" si="4"/>
        <v>0.27082541568973917</v>
      </c>
      <c r="AQ13" s="1509"/>
    </row>
    <row r="14" spans="1:44" ht="14.25" x14ac:dyDescent="0.2">
      <c r="A14" s="69"/>
      <c r="B14" s="5"/>
      <c r="C14" s="5"/>
      <c r="D14" s="5"/>
      <c r="E14" s="5"/>
      <c r="F14" s="5"/>
      <c r="G14" s="5"/>
      <c r="H14" s="5"/>
      <c r="I14" s="5"/>
      <c r="J14" s="5"/>
      <c r="K14" s="5"/>
      <c r="L14" s="305"/>
      <c r="M14" s="306"/>
      <c r="N14" s="306"/>
      <c r="O14" s="306"/>
      <c r="P14" s="306"/>
      <c r="Q14" s="306"/>
      <c r="R14" s="306"/>
      <c r="S14" s="306"/>
      <c r="T14" s="306"/>
      <c r="U14" s="306"/>
      <c r="V14" s="306"/>
      <c r="W14" s="306"/>
      <c r="X14" s="307"/>
      <c r="Y14" s="306"/>
      <c r="Z14" s="306"/>
      <c r="AA14" s="306"/>
      <c r="AB14" s="306"/>
      <c r="AC14" s="306"/>
      <c r="AD14" s="306"/>
      <c r="AE14" s="1059"/>
      <c r="AF14" s="898"/>
      <c r="AG14" s="898"/>
      <c r="AH14" s="1089"/>
      <c r="AI14" s="306"/>
      <c r="AJ14" s="1432"/>
      <c r="AK14" s="1433"/>
      <c r="AL14" s="1432"/>
      <c r="AM14" s="1316"/>
      <c r="AN14" s="1695"/>
      <c r="AO14" s="171"/>
      <c r="AP14" s="1539"/>
      <c r="AQ14" s="1612"/>
    </row>
    <row r="15" spans="1:44" ht="14.25" x14ac:dyDescent="0.2">
      <c r="A15" s="68" t="s">
        <v>44</v>
      </c>
      <c r="B15" s="1"/>
      <c r="C15" s="7"/>
      <c r="D15" s="7"/>
      <c r="E15" s="7"/>
      <c r="F15" s="7"/>
      <c r="G15" s="7"/>
      <c r="H15" s="7"/>
      <c r="I15" s="7"/>
      <c r="J15" s="7"/>
      <c r="K15" s="7"/>
      <c r="L15" s="308"/>
      <c r="M15" s="309"/>
      <c r="N15" s="309"/>
      <c r="O15" s="309"/>
      <c r="P15" s="309"/>
      <c r="Q15" s="309"/>
      <c r="R15" s="309"/>
      <c r="S15" s="309"/>
      <c r="T15" s="309"/>
      <c r="U15" s="309"/>
      <c r="V15" s="309"/>
      <c r="W15" s="309"/>
      <c r="X15" s="310"/>
      <c r="Y15" s="309"/>
      <c r="Z15" s="309"/>
      <c r="AA15" s="309"/>
      <c r="AB15" s="335"/>
      <c r="AC15" s="806"/>
      <c r="AD15" s="806"/>
      <c r="AE15" s="1060"/>
      <c r="AF15" s="904">
        <v>417</v>
      </c>
      <c r="AG15" s="904">
        <v>459</v>
      </c>
      <c r="AH15" s="1087"/>
      <c r="AI15" s="302"/>
      <c r="AJ15" s="1434"/>
      <c r="AK15" s="1429"/>
      <c r="AL15" s="1428"/>
      <c r="AM15" s="1314"/>
      <c r="AN15" s="1693">
        <f>407466.9/1000</f>
        <v>407.46690000000001</v>
      </c>
      <c r="AO15" s="1206"/>
      <c r="AP15" s="1206">
        <v>322.11799999999999</v>
      </c>
      <c r="AQ15" s="1509"/>
    </row>
    <row r="16" spans="1:44" ht="14.25" x14ac:dyDescent="0.2">
      <c r="A16" s="1335" t="s">
        <v>191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311"/>
      <c r="M16" s="312"/>
      <c r="N16" s="312"/>
      <c r="O16" s="312"/>
      <c r="P16" s="312">
        <v>420</v>
      </c>
      <c r="Q16" s="312"/>
      <c r="R16" s="312"/>
      <c r="S16" s="312"/>
      <c r="T16" s="312">
        <v>305</v>
      </c>
      <c r="U16" s="312">
        <v>339</v>
      </c>
      <c r="V16" s="312">
        <v>373</v>
      </c>
      <c r="W16" s="312"/>
      <c r="X16" s="313"/>
      <c r="Y16" s="312"/>
      <c r="Z16" s="312">
        <v>300</v>
      </c>
      <c r="AA16" s="312"/>
      <c r="AB16" s="304"/>
      <c r="AC16" s="807"/>
      <c r="AD16" s="807"/>
      <c r="AE16" s="1061"/>
      <c r="AF16" s="905">
        <f>AF15/AF10</f>
        <v>0.68026101141924955</v>
      </c>
      <c r="AG16" s="905">
        <f>AG15/AG10</f>
        <v>0.74634146341463414</v>
      </c>
      <c r="AH16" s="1088"/>
      <c r="AI16" s="304"/>
      <c r="AJ16" s="1435"/>
      <c r="AK16" s="1431"/>
      <c r="AL16" s="1430"/>
      <c r="AM16" s="1315"/>
      <c r="AN16" s="1694">
        <f>AN15/AN10</f>
        <v>0.73760932891829989</v>
      </c>
      <c r="AO16" s="1315"/>
      <c r="AP16" s="1540">
        <f>AP15/AP10</f>
        <v>0.43105164836929466</v>
      </c>
      <c r="AQ16" s="1509"/>
    </row>
    <row r="17" spans="1:43" ht="14.25" x14ac:dyDescent="0.2">
      <c r="A17" s="1335" t="s">
        <v>29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14"/>
      <c r="M17" s="315"/>
      <c r="N17" s="315"/>
      <c r="O17" s="315"/>
      <c r="P17" s="315">
        <v>0.759493670886076</v>
      </c>
      <c r="Q17" s="315"/>
      <c r="R17" s="315"/>
      <c r="S17" s="315"/>
      <c r="T17" s="315">
        <v>0.61368209255533201</v>
      </c>
      <c r="U17" s="315">
        <v>0.69042769857433806</v>
      </c>
      <c r="V17" s="315">
        <v>0.75967413441955189</v>
      </c>
      <c r="W17" s="315"/>
      <c r="X17" s="316"/>
      <c r="Y17" s="315"/>
      <c r="Z17" s="315">
        <v>0.5725190839694656</v>
      </c>
      <c r="AA17" s="315"/>
      <c r="AB17" s="304"/>
      <c r="AC17" s="807"/>
      <c r="AD17" s="807"/>
      <c r="AE17" s="1061"/>
      <c r="AF17" s="905">
        <f>AF15/AF21</f>
        <v>0.86514522821576767</v>
      </c>
      <c r="AG17" s="905">
        <f>AG15/AG21</f>
        <v>0.91800000000000004</v>
      </c>
      <c r="AH17" s="1088"/>
      <c r="AI17" s="304"/>
      <c r="AJ17" s="1435"/>
      <c r="AK17" s="1431"/>
      <c r="AL17" s="1430"/>
      <c r="AM17" s="1315"/>
      <c r="AN17" s="1694">
        <f>AN15/AN21</f>
        <v>0.98543320085511532</v>
      </c>
      <c r="AO17" s="1315"/>
      <c r="AP17" s="1540">
        <f>AP15/AP21</f>
        <v>0.5911501273416353</v>
      </c>
      <c r="AQ17" s="1509"/>
    </row>
    <row r="18" spans="1:43" x14ac:dyDescent="0.2">
      <c r="A18" s="1336"/>
      <c r="B18" s="1"/>
      <c r="C18" s="8"/>
      <c r="D18" s="8"/>
      <c r="E18" s="8"/>
      <c r="F18" s="8"/>
      <c r="G18" s="8"/>
      <c r="H18" s="8"/>
      <c r="I18" s="8"/>
      <c r="J18" s="8"/>
      <c r="K18" s="8"/>
      <c r="L18" s="317"/>
      <c r="M18" s="318"/>
      <c r="N18" s="318"/>
      <c r="O18" s="318"/>
      <c r="P18" s="318"/>
      <c r="Q18" s="318"/>
      <c r="R18" s="318"/>
      <c r="S18" s="318"/>
      <c r="T18" s="318"/>
      <c r="U18" s="318"/>
      <c r="V18" s="315">
        <v>0.94191919191919193</v>
      </c>
      <c r="W18" s="318"/>
      <c r="X18" s="319"/>
      <c r="Y18" s="315"/>
      <c r="Z18" s="315">
        <v>0.72992700729927007</v>
      </c>
      <c r="AA18" s="318"/>
      <c r="AB18" s="318"/>
      <c r="AC18" s="318"/>
      <c r="AD18" s="318"/>
      <c r="AE18" s="1062"/>
      <c r="AF18" s="899"/>
      <c r="AG18" s="899"/>
      <c r="AH18" s="1090"/>
      <c r="AI18" s="318"/>
      <c r="AJ18" s="1436"/>
      <c r="AK18" s="1437"/>
      <c r="AL18" s="1436"/>
      <c r="AM18" s="1317"/>
      <c r="AN18" s="1696"/>
      <c r="AO18" s="197"/>
      <c r="AP18" s="197"/>
      <c r="AQ18" s="1610"/>
    </row>
    <row r="19" spans="1:43" ht="15" x14ac:dyDescent="0.25">
      <c r="A19" s="70" t="s">
        <v>59</v>
      </c>
      <c r="B19" s="1"/>
      <c r="C19" s="8"/>
      <c r="D19" s="8"/>
      <c r="E19" s="8"/>
      <c r="F19" s="8"/>
      <c r="G19" s="8"/>
      <c r="H19" s="8"/>
      <c r="I19" s="8"/>
      <c r="J19" s="8"/>
      <c r="K19" s="8"/>
      <c r="L19" s="317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9"/>
      <c r="Y19" s="318"/>
      <c r="Z19" s="318"/>
      <c r="AA19" s="318"/>
      <c r="AB19" s="318"/>
      <c r="AC19" s="318"/>
      <c r="AD19" s="318"/>
      <c r="AE19" s="1062"/>
      <c r="AF19" s="899"/>
      <c r="AG19" s="899"/>
      <c r="AH19" s="1090"/>
      <c r="AI19" s="318"/>
      <c r="AJ19" s="1436"/>
      <c r="AK19" s="1437"/>
      <c r="AL19" s="1436"/>
      <c r="AM19" s="1317"/>
      <c r="AN19" s="1696"/>
      <c r="AO19" s="197"/>
      <c r="AP19" s="197"/>
      <c r="AQ19" s="1610"/>
    </row>
    <row r="20" spans="1:43" ht="15" x14ac:dyDescent="0.25">
      <c r="A20" s="71" t="s">
        <v>2</v>
      </c>
      <c r="B20" s="1217">
        <v>102.626</v>
      </c>
      <c r="C20" s="1217">
        <f>B42</f>
        <v>62.196999999999889</v>
      </c>
      <c r="D20" s="72">
        <f>C42</f>
        <v>59.211999999999989</v>
      </c>
      <c r="E20" s="72">
        <f>D42</f>
        <v>44.211000000000013</v>
      </c>
      <c r="F20" s="72">
        <v>34.231999999999999</v>
      </c>
      <c r="G20" s="72">
        <v>34.231999999999999</v>
      </c>
      <c r="H20" s="72">
        <f>E42</f>
        <v>35.009000000000015</v>
      </c>
      <c r="I20" s="72">
        <v>83</v>
      </c>
      <c r="J20" s="72">
        <v>83</v>
      </c>
      <c r="K20" s="72">
        <v>83</v>
      </c>
      <c r="L20" s="320">
        <f>H42</f>
        <v>81.682999999999993</v>
      </c>
      <c r="M20" s="321">
        <v>50</v>
      </c>
      <c r="N20" s="321">
        <v>50</v>
      </c>
      <c r="O20" s="321">
        <v>50</v>
      </c>
      <c r="P20" s="321">
        <v>50</v>
      </c>
      <c r="Q20" s="321">
        <f>L42</f>
        <v>49.884999999999991</v>
      </c>
      <c r="R20" s="321">
        <v>58</v>
      </c>
      <c r="S20" s="321">
        <v>58</v>
      </c>
      <c r="T20" s="321">
        <v>58</v>
      </c>
      <c r="U20" s="321">
        <v>58</v>
      </c>
      <c r="V20" s="321">
        <v>58</v>
      </c>
      <c r="W20" s="321">
        <f>Q42</f>
        <v>59.866999999999997</v>
      </c>
      <c r="X20" s="321">
        <v>36</v>
      </c>
      <c r="Y20" s="321">
        <v>45</v>
      </c>
      <c r="Z20" s="321">
        <v>45</v>
      </c>
      <c r="AA20" s="321">
        <v>45</v>
      </c>
      <c r="AB20" s="321">
        <f>W42</f>
        <v>38.138999999999996</v>
      </c>
      <c r="AC20" s="321">
        <v>88</v>
      </c>
      <c r="AD20" s="321">
        <v>88</v>
      </c>
      <c r="AE20" s="1063">
        <v>65</v>
      </c>
      <c r="AF20" s="900">
        <v>65</v>
      </c>
      <c r="AG20" s="900">
        <v>65</v>
      </c>
      <c r="AH20" s="1091">
        <f>AB42</f>
        <v>58.658000000000001</v>
      </c>
      <c r="AI20" s="321">
        <f>AB42</f>
        <v>58.658000000000001</v>
      </c>
      <c r="AJ20" s="1438">
        <f>AH42</f>
        <v>81.658000000000015</v>
      </c>
      <c r="AK20" s="1439">
        <f>AI42</f>
        <v>66.378</v>
      </c>
      <c r="AL20" s="1438">
        <f>AI42</f>
        <v>66.378</v>
      </c>
      <c r="AM20" s="1318">
        <f>AI42</f>
        <v>66.378</v>
      </c>
      <c r="AN20" s="1697">
        <f>AI42</f>
        <v>66.378</v>
      </c>
      <c r="AO20" s="1318">
        <f>AI42</f>
        <v>66.378</v>
      </c>
      <c r="AP20" s="1518">
        <f>AO42</f>
        <v>76.400000000000006</v>
      </c>
      <c r="AQ20" s="1610">
        <f>AP20/AO20-1</f>
        <v>0.15098375967941191</v>
      </c>
    </row>
    <row r="21" spans="1:43" ht="15" x14ac:dyDescent="0.25">
      <c r="A21" s="73" t="s">
        <v>21</v>
      </c>
      <c r="B21" s="1168">
        <v>897.68799999999999</v>
      </c>
      <c r="C21" s="1168">
        <v>475.654</v>
      </c>
      <c r="D21" s="1168">
        <v>357.78800000000001</v>
      </c>
      <c r="E21" s="1168">
        <v>443.483</v>
      </c>
      <c r="F21" s="40">
        <v>887.16700000000003</v>
      </c>
      <c r="G21" s="40">
        <v>900</v>
      </c>
      <c r="H21" s="1168">
        <v>891.89099999999996</v>
      </c>
      <c r="I21" s="40">
        <v>538.41</v>
      </c>
      <c r="J21" s="40">
        <v>535.65</v>
      </c>
      <c r="K21" s="40">
        <v>531</v>
      </c>
      <c r="L21" s="1169">
        <v>523.40800000000002</v>
      </c>
      <c r="M21" s="323">
        <v>472</v>
      </c>
      <c r="N21" s="323">
        <v>455.2</v>
      </c>
      <c r="O21" s="323">
        <v>450</v>
      </c>
      <c r="P21" s="323">
        <v>442</v>
      </c>
      <c r="Q21" s="1275">
        <v>441.36799999999999</v>
      </c>
      <c r="R21" s="1275">
        <v>464.64</v>
      </c>
      <c r="S21" s="1275">
        <v>423</v>
      </c>
      <c r="T21" s="1275">
        <v>389</v>
      </c>
      <c r="U21" s="1275">
        <v>386</v>
      </c>
      <c r="V21" s="1275">
        <v>396</v>
      </c>
      <c r="W21" s="1275">
        <v>391.73399999999998</v>
      </c>
      <c r="X21" s="1275"/>
      <c r="Y21" s="1275">
        <v>414</v>
      </c>
      <c r="Z21" s="1275">
        <v>411</v>
      </c>
      <c r="AA21" s="1275">
        <v>401</v>
      </c>
      <c r="AB21" s="1275">
        <v>387.27300000000002</v>
      </c>
      <c r="AC21" s="1275">
        <v>513</v>
      </c>
      <c r="AD21" s="1275">
        <v>468.79200000000003</v>
      </c>
      <c r="AE21" s="1275">
        <v>476</v>
      </c>
      <c r="AF21" s="1276">
        <v>482</v>
      </c>
      <c r="AG21" s="1276">
        <v>500</v>
      </c>
      <c r="AH21" s="1276">
        <v>543</v>
      </c>
      <c r="AI21" s="1275">
        <v>506.536</v>
      </c>
      <c r="AJ21" s="1440">
        <f>AJ22*AJ10</f>
        <v>445.07673686189713</v>
      </c>
      <c r="AK21" s="1441">
        <v>356</v>
      </c>
      <c r="AL21" s="1354">
        <v>397.84500000000003</v>
      </c>
      <c r="AM21" s="1304">
        <v>415.52499999999998</v>
      </c>
      <c r="AN21" s="1658">
        <f>413490.127637691/1000</f>
        <v>413.49012763769099</v>
      </c>
      <c r="AO21" s="1733">
        <v>413.726</v>
      </c>
      <c r="AP21" s="1510">
        <f>544900.500061709/1000</f>
        <v>544.90050006170895</v>
      </c>
      <c r="AQ21" s="1610">
        <f>AP21/AO21-1</f>
        <v>0.31705645780470393</v>
      </c>
    </row>
    <row r="22" spans="1:43" ht="14.25" x14ac:dyDescent="0.2">
      <c r="A22" s="74" t="s">
        <v>30</v>
      </c>
      <c r="B22" s="44">
        <f>B21/B10</f>
        <v>0.89374212850266077</v>
      </c>
      <c r="C22" s="44">
        <f t="shared" ref="C22:AE22" si="5">C21/C10</f>
        <v>0.81290033701797204</v>
      </c>
      <c r="D22" s="44">
        <f t="shared" si="5"/>
        <v>0.81060666133494041</v>
      </c>
      <c r="E22" s="44">
        <f t="shared" si="5"/>
        <v>0.82781837696579397</v>
      </c>
      <c r="F22" s="44">
        <f t="shared" si="5"/>
        <v>0.81529020062288571</v>
      </c>
      <c r="G22" s="44">
        <f t="shared" si="5"/>
        <v>0.83011892837180468</v>
      </c>
      <c r="H22" s="44">
        <f t="shared" si="5"/>
        <v>0.83416276579327631</v>
      </c>
      <c r="I22" s="44">
        <f t="shared" si="5"/>
        <v>0.7977389912878563</v>
      </c>
      <c r="J22" s="44">
        <f t="shared" si="5"/>
        <v>0.80949970152862671</v>
      </c>
      <c r="K22" s="44">
        <f t="shared" si="5"/>
        <v>0.80610881709982996</v>
      </c>
      <c r="L22" s="324">
        <f t="shared" si="5"/>
        <v>0.78899345329347736</v>
      </c>
      <c r="M22" s="325">
        <f t="shared" si="5"/>
        <v>0.79461279461279466</v>
      </c>
      <c r="N22" s="325">
        <f t="shared" si="5"/>
        <v>0.79000347101700785</v>
      </c>
      <c r="O22" s="326">
        <f t="shared" si="5"/>
        <v>0.7978723404255319</v>
      </c>
      <c r="P22" s="326">
        <f t="shared" si="5"/>
        <v>0.79927667269439417</v>
      </c>
      <c r="Q22" s="325">
        <f t="shared" si="5"/>
        <v>0.79864217368017254</v>
      </c>
      <c r="R22" s="326">
        <f t="shared" si="5"/>
        <v>0.8</v>
      </c>
      <c r="S22" s="326">
        <f t="shared" si="5"/>
        <v>0.80571428571428572</v>
      </c>
      <c r="T22" s="326">
        <f t="shared" si="5"/>
        <v>0.78269617706237427</v>
      </c>
      <c r="U22" s="326">
        <f t="shared" si="5"/>
        <v>0.78615071283095728</v>
      </c>
      <c r="V22" s="326">
        <f t="shared" si="5"/>
        <v>0.80651731160896134</v>
      </c>
      <c r="W22" s="325">
        <f t="shared" si="5"/>
        <v>0.80264807848344022</v>
      </c>
      <c r="X22" s="326">
        <f t="shared" si="5"/>
        <v>0</v>
      </c>
      <c r="Y22" s="325">
        <f t="shared" si="5"/>
        <v>0.79462571976967367</v>
      </c>
      <c r="Z22" s="325">
        <f t="shared" si="5"/>
        <v>0.78435114503816794</v>
      </c>
      <c r="AA22" s="325">
        <f t="shared" si="5"/>
        <v>0.76819923371647514</v>
      </c>
      <c r="AB22" s="325">
        <f t="shared" si="5"/>
        <v>0.73303565682529714</v>
      </c>
      <c r="AC22" s="325">
        <f t="shared" si="5"/>
        <v>0.7995635910224439</v>
      </c>
      <c r="AD22" s="325">
        <f t="shared" si="5"/>
        <v>0.8</v>
      </c>
      <c r="AE22" s="1064">
        <f t="shared" si="5"/>
        <v>0.78547854785478544</v>
      </c>
      <c r="AF22" s="902">
        <f>AF21/AF10</f>
        <v>0.78629690048939638</v>
      </c>
      <c r="AG22" s="902">
        <f>AG21/AG10</f>
        <v>0.81300813008130079</v>
      </c>
      <c r="AH22" s="1092">
        <f>AH21/AH10</f>
        <v>0.79762856068440346</v>
      </c>
      <c r="AI22" s="325">
        <f>AI21/AI10</f>
        <v>0.76554983428119749</v>
      </c>
      <c r="AJ22" s="1442">
        <f>AH22</f>
        <v>0.79762856068440346</v>
      </c>
      <c r="AK22" s="1443">
        <f t="shared" ref="AK22:AP22" si="6">AK21/AK10</f>
        <v>0.78128429091866736</v>
      </c>
      <c r="AL22" s="1442">
        <f t="shared" si="6"/>
        <v>0.80443078401292778</v>
      </c>
      <c r="AM22" s="1319">
        <f t="shared" si="6"/>
        <v>0.7915304668510601</v>
      </c>
      <c r="AN22" s="1698">
        <f t="shared" si="6"/>
        <v>0.74851276400900146</v>
      </c>
      <c r="AO22" s="1319">
        <f>AO21/AO10</f>
        <v>0.74623802071947465</v>
      </c>
      <c r="AP22" s="1319">
        <f t="shared" si="6"/>
        <v>0.72917458431026083</v>
      </c>
      <c r="AQ22" s="1610"/>
    </row>
    <row r="23" spans="1:43" ht="14.25" x14ac:dyDescent="0.2">
      <c r="A23" s="43" t="s">
        <v>31</v>
      </c>
      <c r="B23" s="75"/>
      <c r="C23" s="76"/>
      <c r="D23" s="1218">
        <v>8</v>
      </c>
      <c r="E23" s="1219"/>
      <c r="F23" s="75"/>
      <c r="G23" s="9"/>
      <c r="H23" s="9"/>
      <c r="I23" s="9"/>
      <c r="J23" s="9"/>
      <c r="K23" s="78">
        <v>3</v>
      </c>
      <c r="L23" s="327"/>
      <c r="M23" s="328"/>
      <c r="N23" s="329"/>
      <c r="O23" s="329"/>
      <c r="P23" s="329"/>
      <c r="Q23" s="329"/>
      <c r="R23" s="329"/>
      <c r="S23" s="329"/>
      <c r="T23" s="329"/>
      <c r="U23" s="329"/>
      <c r="V23" s="329"/>
      <c r="W23" s="329"/>
      <c r="X23" s="330"/>
      <c r="Y23" s="329"/>
      <c r="Z23" s="329"/>
      <c r="AA23" s="329"/>
      <c r="AB23" s="1220">
        <v>22</v>
      </c>
      <c r="AC23" s="329"/>
      <c r="AD23" s="329"/>
      <c r="AE23" s="1065"/>
      <c r="AF23" s="903"/>
      <c r="AG23" s="903"/>
      <c r="AH23" s="1093"/>
      <c r="AI23" s="1220">
        <v>6</v>
      </c>
      <c r="AJ23" s="1220"/>
      <c r="AK23" s="1220"/>
      <c r="AL23" s="1220"/>
      <c r="AM23" s="1220"/>
      <c r="AN23" s="1699"/>
      <c r="AO23" s="1734">
        <v>16</v>
      </c>
      <c r="AP23" s="1220"/>
      <c r="AQ23" s="1610"/>
    </row>
    <row r="24" spans="1:43" ht="15" x14ac:dyDescent="0.25">
      <c r="A24" s="70" t="s">
        <v>20</v>
      </c>
      <c r="B24" s="1166">
        <f t="shared" ref="B24:AI24" si="7">B25+B26</f>
        <v>7.9529999999999994</v>
      </c>
      <c r="C24" s="1166">
        <f t="shared" si="7"/>
        <v>35.430999999999997</v>
      </c>
      <c r="D24" s="1166">
        <f t="shared" si="7"/>
        <v>12.190999999999999</v>
      </c>
      <c r="E24" s="1166">
        <f t="shared" si="7"/>
        <v>14.013</v>
      </c>
      <c r="F24" s="79">
        <f t="shared" si="7"/>
        <v>8</v>
      </c>
      <c r="G24" s="79">
        <f t="shared" si="7"/>
        <v>8</v>
      </c>
      <c r="H24" s="1163">
        <f t="shared" si="7"/>
        <v>7.9269999999999996</v>
      </c>
      <c r="I24" s="79">
        <f t="shared" si="7"/>
        <v>10</v>
      </c>
      <c r="J24" s="79">
        <f t="shared" si="7"/>
        <v>5</v>
      </c>
      <c r="K24" s="79">
        <f t="shared" si="7"/>
        <v>6</v>
      </c>
      <c r="L24" s="1166">
        <f t="shared" si="7"/>
        <v>5.5620000000000003</v>
      </c>
      <c r="M24" s="332">
        <f t="shared" si="7"/>
        <v>5</v>
      </c>
      <c r="N24" s="332">
        <f t="shared" si="7"/>
        <v>11</v>
      </c>
      <c r="O24" s="332">
        <f t="shared" si="7"/>
        <v>15</v>
      </c>
      <c r="P24" s="332">
        <f t="shared" si="7"/>
        <v>16</v>
      </c>
      <c r="Q24" s="1166">
        <f t="shared" si="7"/>
        <v>15.684000000000001</v>
      </c>
      <c r="R24" s="1166">
        <f t="shared" si="7"/>
        <v>10</v>
      </c>
      <c r="S24" s="1166">
        <f t="shared" si="7"/>
        <v>10</v>
      </c>
      <c r="T24" s="1166">
        <f t="shared" si="7"/>
        <v>10</v>
      </c>
      <c r="U24" s="1166">
        <f t="shared" si="7"/>
        <v>10</v>
      </c>
      <c r="V24" s="1166">
        <f t="shared" si="7"/>
        <v>12</v>
      </c>
      <c r="W24" s="1166">
        <f t="shared" si="7"/>
        <v>11.058</v>
      </c>
      <c r="X24" s="1166">
        <f t="shared" si="7"/>
        <v>0</v>
      </c>
      <c r="Y24" s="1166">
        <f t="shared" si="7"/>
        <v>10</v>
      </c>
      <c r="Z24" s="1166">
        <f t="shared" si="7"/>
        <v>6</v>
      </c>
      <c r="AA24" s="1166">
        <f t="shared" si="7"/>
        <v>7</v>
      </c>
      <c r="AB24" s="1166">
        <f t="shared" si="7"/>
        <v>6.8090000000000002</v>
      </c>
      <c r="AC24" s="1166">
        <f t="shared" si="7"/>
        <v>5</v>
      </c>
      <c r="AD24" s="1166">
        <f t="shared" si="7"/>
        <v>5</v>
      </c>
      <c r="AE24" s="1166">
        <f t="shared" si="7"/>
        <v>7</v>
      </c>
      <c r="AF24" s="1166">
        <f t="shared" si="7"/>
        <v>5</v>
      </c>
      <c r="AG24" s="1166">
        <f t="shared" si="7"/>
        <v>9</v>
      </c>
      <c r="AH24" s="1166">
        <f t="shared" si="7"/>
        <v>10</v>
      </c>
      <c r="AI24" s="1166">
        <f t="shared" si="7"/>
        <v>9.277000000000001</v>
      </c>
      <c r="AJ24" s="1444">
        <f t="shared" ref="AJ24:AP24" si="8">AJ25+AJ26</f>
        <v>10</v>
      </c>
      <c r="AK24" s="1444">
        <f t="shared" si="8"/>
        <v>10</v>
      </c>
      <c r="AL24" s="1445">
        <f t="shared" si="8"/>
        <v>60</v>
      </c>
      <c r="AM24" s="1320">
        <f t="shared" si="8"/>
        <v>60</v>
      </c>
      <c r="AN24" s="1700">
        <f t="shared" si="8"/>
        <v>75</v>
      </c>
      <c r="AO24" s="1320">
        <f>AO25+AO26</f>
        <v>77</v>
      </c>
      <c r="AP24" s="1320">
        <f t="shared" si="8"/>
        <v>10</v>
      </c>
      <c r="AQ24" s="1546">
        <f>AP24/AO24-1</f>
        <v>-0.87012987012987009</v>
      </c>
    </row>
    <row r="25" spans="1:43" ht="15" x14ac:dyDescent="0.25">
      <c r="A25" s="602" t="s">
        <v>216</v>
      </c>
      <c r="B25" s="1165">
        <v>5.9390000000000001</v>
      </c>
      <c r="C25" s="1162">
        <v>7.5049999999999999</v>
      </c>
      <c r="D25" s="1162">
        <v>8.343</v>
      </c>
      <c r="E25" s="1162">
        <v>6.7679999999999998</v>
      </c>
      <c r="F25" s="41">
        <v>5</v>
      </c>
      <c r="G25" s="41">
        <v>4</v>
      </c>
      <c r="H25" s="1162">
        <v>5.3879999999999999</v>
      </c>
      <c r="I25" s="41">
        <v>9</v>
      </c>
      <c r="J25" s="41">
        <v>4</v>
      </c>
      <c r="K25" s="41">
        <v>4</v>
      </c>
      <c r="L25" s="1165">
        <v>3.7210000000000001</v>
      </c>
      <c r="M25" s="1164">
        <v>3</v>
      </c>
      <c r="N25" s="1164">
        <v>3</v>
      </c>
      <c r="O25" s="1164">
        <v>5</v>
      </c>
      <c r="P25" s="1164">
        <v>5</v>
      </c>
      <c r="Q25" s="1164">
        <v>6.2080000000000002</v>
      </c>
      <c r="R25" s="1164">
        <v>5</v>
      </c>
      <c r="S25" s="1164">
        <v>5</v>
      </c>
      <c r="T25" s="1164">
        <v>5</v>
      </c>
      <c r="U25" s="1164">
        <v>5</v>
      </c>
      <c r="V25" s="1164">
        <v>7</v>
      </c>
      <c r="W25" s="1164">
        <v>6.4219999999999997</v>
      </c>
      <c r="X25" s="1164"/>
      <c r="Y25" s="1164">
        <v>5</v>
      </c>
      <c r="Z25" s="1164">
        <v>4</v>
      </c>
      <c r="AA25" s="1164">
        <v>2</v>
      </c>
      <c r="AB25" s="1164">
        <v>4.2480000000000002</v>
      </c>
      <c r="AC25" s="1164">
        <v>4</v>
      </c>
      <c r="AD25" s="1164">
        <v>4</v>
      </c>
      <c r="AE25" s="1164">
        <v>3</v>
      </c>
      <c r="AF25" s="1164">
        <v>3</v>
      </c>
      <c r="AG25" s="1164">
        <v>6</v>
      </c>
      <c r="AH25" s="1164">
        <v>8</v>
      </c>
      <c r="AI25" s="1164">
        <v>7.7690000000000001</v>
      </c>
      <c r="AJ25" s="1446">
        <v>8</v>
      </c>
      <c r="AK25" s="1446">
        <v>8</v>
      </c>
      <c r="AL25" s="1447">
        <v>20</v>
      </c>
      <c r="AM25" s="1321">
        <v>20</v>
      </c>
      <c r="AN25" s="1701">
        <v>30</v>
      </c>
      <c r="AO25" s="1735">
        <v>28</v>
      </c>
      <c r="AP25" s="1206">
        <v>8</v>
      </c>
      <c r="AQ25" s="1547">
        <f>AP25/AO25-1</f>
        <v>-0.7142857142857143</v>
      </c>
    </row>
    <row r="26" spans="1:43" ht="15" x14ac:dyDescent="0.25">
      <c r="A26" s="32" t="s">
        <v>3</v>
      </c>
      <c r="B26" s="1165">
        <v>2.0139999999999998</v>
      </c>
      <c r="C26" s="1162">
        <v>27.925999999999998</v>
      </c>
      <c r="D26" s="1162">
        <v>3.8479999999999999</v>
      </c>
      <c r="E26" s="1162">
        <v>7.2450000000000001</v>
      </c>
      <c r="F26" s="41">
        <v>3</v>
      </c>
      <c r="G26" s="41">
        <v>4</v>
      </c>
      <c r="H26" s="1162">
        <v>2.5390000000000001</v>
      </c>
      <c r="I26" s="41">
        <v>1</v>
      </c>
      <c r="J26" s="41">
        <v>1</v>
      </c>
      <c r="K26" s="41">
        <v>2</v>
      </c>
      <c r="L26" s="1165">
        <v>1.841</v>
      </c>
      <c r="M26" s="1164">
        <v>2</v>
      </c>
      <c r="N26" s="1164">
        <v>8</v>
      </c>
      <c r="O26" s="1164">
        <v>10</v>
      </c>
      <c r="P26" s="1164">
        <v>11</v>
      </c>
      <c r="Q26" s="1164">
        <v>9.4760000000000009</v>
      </c>
      <c r="R26" s="1164">
        <v>5</v>
      </c>
      <c r="S26" s="1164">
        <v>5</v>
      </c>
      <c r="T26" s="1164">
        <v>5</v>
      </c>
      <c r="U26" s="1164">
        <v>5</v>
      </c>
      <c r="V26" s="1164">
        <v>5</v>
      </c>
      <c r="W26" s="1164">
        <v>4.6360000000000001</v>
      </c>
      <c r="X26" s="1164"/>
      <c r="Y26" s="1164">
        <v>5</v>
      </c>
      <c r="Z26" s="1164">
        <v>2</v>
      </c>
      <c r="AA26" s="1164">
        <v>5</v>
      </c>
      <c r="AB26" s="1164">
        <v>2.5609999999999999</v>
      </c>
      <c r="AC26" s="1164">
        <v>1</v>
      </c>
      <c r="AD26" s="1164">
        <v>1</v>
      </c>
      <c r="AE26" s="1164">
        <v>4</v>
      </c>
      <c r="AF26" s="1164">
        <v>2</v>
      </c>
      <c r="AG26" s="1164">
        <v>3</v>
      </c>
      <c r="AH26" s="1164">
        <v>2</v>
      </c>
      <c r="AI26" s="1164">
        <v>1.508</v>
      </c>
      <c r="AJ26" s="1446">
        <v>2</v>
      </c>
      <c r="AK26" s="1446">
        <v>2</v>
      </c>
      <c r="AL26" s="1447">
        <v>40</v>
      </c>
      <c r="AM26" s="1321">
        <v>40</v>
      </c>
      <c r="AN26" s="1701">
        <v>45</v>
      </c>
      <c r="AO26" s="1735">
        <v>49</v>
      </c>
      <c r="AP26" s="1206">
        <v>2</v>
      </c>
      <c r="AQ26" s="1547">
        <f>AP26/AO26-1</f>
        <v>-0.95918367346938771</v>
      </c>
    </row>
    <row r="27" spans="1:43" ht="18" x14ac:dyDescent="0.25">
      <c r="A27" s="80" t="s">
        <v>231</v>
      </c>
      <c r="B27" s="81">
        <f t="shared" ref="B27:AI27" si="9">B20+B21+B23+B24</f>
        <v>1008.2669999999999</v>
      </c>
      <c r="C27" s="81">
        <f t="shared" si="9"/>
        <v>573.28199999999993</v>
      </c>
      <c r="D27" s="81">
        <f t="shared" si="9"/>
        <v>437.19099999999997</v>
      </c>
      <c r="E27" s="81">
        <f t="shared" si="9"/>
        <v>501.70699999999999</v>
      </c>
      <c r="F27" s="81">
        <f t="shared" si="9"/>
        <v>929.399</v>
      </c>
      <c r="G27" s="81">
        <f t="shared" si="9"/>
        <v>942.23199999999997</v>
      </c>
      <c r="H27" s="81">
        <f t="shared" si="9"/>
        <v>934.827</v>
      </c>
      <c r="I27" s="81">
        <f t="shared" si="9"/>
        <v>631.41</v>
      </c>
      <c r="J27" s="81">
        <f t="shared" si="9"/>
        <v>623.65</v>
      </c>
      <c r="K27" s="81">
        <f t="shared" si="9"/>
        <v>623</v>
      </c>
      <c r="L27" s="336">
        <f t="shared" si="9"/>
        <v>610.65300000000002</v>
      </c>
      <c r="M27" s="337">
        <f t="shared" si="9"/>
        <v>527</v>
      </c>
      <c r="N27" s="337">
        <f t="shared" si="9"/>
        <v>516.20000000000005</v>
      </c>
      <c r="O27" s="337">
        <f t="shared" si="9"/>
        <v>515</v>
      </c>
      <c r="P27" s="337">
        <f t="shared" si="9"/>
        <v>508</v>
      </c>
      <c r="Q27" s="337">
        <f t="shared" si="9"/>
        <v>506.93700000000001</v>
      </c>
      <c r="R27" s="337">
        <f t="shared" si="9"/>
        <v>532.64</v>
      </c>
      <c r="S27" s="337">
        <f t="shared" si="9"/>
        <v>491</v>
      </c>
      <c r="T27" s="337">
        <f t="shared" si="9"/>
        <v>457</v>
      </c>
      <c r="U27" s="337">
        <f t="shared" si="9"/>
        <v>454</v>
      </c>
      <c r="V27" s="337">
        <f t="shared" si="9"/>
        <v>466</v>
      </c>
      <c r="W27" s="337">
        <f t="shared" si="9"/>
        <v>462.65899999999999</v>
      </c>
      <c r="X27" s="337">
        <f t="shared" si="9"/>
        <v>36</v>
      </c>
      <c r="Y27" s="337">
        <f t="shared" si="9"/>
        <v>469</v>
      </c>
      <c r="Z27" s="337">
        <f t="shared" si="9"/>
        <v>462</v>
      </c>
      <c r="AA27" s="337">
        <f t="shared" si="9"/>
        <v>453</v>
      </c>
      <c r="AB27" s="337">
        <f t="shared" si="9"/>
        <v>454.22100000000006</v>
      </c>
      <c r="AC27" s="337">
        <f t="shared" si="9"/>
        <v>606</v>
      </c>
      <c r="AD27" s="337">
        <f t="shared" si="9"/>
        <v>561.79200000000003</v>
      </c>
      <c r="AE27" s="337">
        <f t="shared" si="9"/>
        <v>548</v>
      </c>
      <c r="AF27" s="800">
        <f t="shared" si="9"/>
        <v>552</v>
      </c>
      <c r="AG27" s="800">
        <f t="shared" si="9"/>
        <v>574</v>
      </c>
      <c r="AH27" s="800">
        <f t="shared" si="9"/>
        <v>611.65800000000002</v>
      </c>
      <c r="AI27" s="337">
        <f t="shared" si="9"/>
        <v>580.471</v>
      </c>
      <c r="AJ27" s="1448">
        <f t="shared" ref="AJ27:AP27" si="10">AJ20+AJ21+AJ23+AJ24</f>
        <v>536.73473686189709</v>
      </c>
      <c r="AK27" s="1449">
        <f t="shared" si="10"/>
        <v>432.37799999999999</v>
      </c>
      <c r="AL27" s="1448">
        <f t="shared" si="10"/>
        <v>524.22299999999996</v>
      </c>
      <c r="AM27" s="800">
        <f t="shared" si="10"/>
        <v>541.90300000000002</v>
      </c>
      <c r="AN27" s="1702">
        <f t="shared" si="10"/>
        <v>554.86812763769103</v>
      </c>
      <c r="AO27" s="800">
        <f>AO20+AO21+AO23+AO24</f>
        <v>573.10400000000004</v>
      </c>
      <c r="AP27" s="225">
        <f t="shared" si="10"/>
        <v>631.30050006170893</v>
      </c>
      <c r="AQ27" s="1613">
        <f>AP27/AO27-1</f>
        <v>0.10154614182017374</v>
      </c>
    </row>
    <row r="28" spans="1:43" ht="13.5" thickBot="1" x14ac:dyDescent="0.25">
      <c r="A28" s="25"/>
      <c r="B28" s="26"/>
      <c r="C28" s="60"/>
      <c r="D28" s="27"/>
      <c r="E28" s="28"/>
      <c r="F28" s="28"/>
      <c r="G28" s="29"/>
      <c r="H28" s="29"/>
      <c r="I28" s="29"/>
      <c r="J28" s="29"/>
      <c r="K28" s="29"/>
      <c r="L28" s="339"/>
      <c r="M28" s="340"/>
      <c r="N28" s="340"/>
      <c r="O28" s="340"/>
      <c r="P28" s="340"/>
      <c r="Q28" s="340"/>
      <c r="R28" s="340"/>
      <c r="S28" s="340"/>
      <c r="T28" s="340"/>
      <c r="U28" s="340"/>
      <c r="V28" s="340"/>
      <c r="W28" s="340"/>
      <c r="X28" s="341"/>
      <c r="Y28" s="340"/>
      <c r="Z28" s="340"/>
      <c r="AA28" s="340"/>
      <c r="AB28" s="340"/>
      <c r="AC28" s="340"/>
      <c r="AD28" s="340"/>
      <c r="AE28" s="340"/>
      <c r="AF28" s="801"/>
      <c r="AG28" s="801"/>
      <c r="AH28" s="801"/>
      <c r="AI28" s="340"/>
      <c r="AJ28" s="1450"/>
      <c r="AK28" s="1451"/>
      <c r="AL28" s="1450"/>
      <c r="AM28" s="801"/>
      <c r="AN28" s="1703"/>
      <c r="AO28" s="646"/>
      <c r="AP28" s="646"/>
      <c r="AQ28" s="1610"/>
    </row>
    <row r="29" spans="1:43" ht="18.75" customHeight="1" thickTop="1" x14ac:dyDescent="0.25">
      <c r="A29" s="16" t="s">
        <v>5</v>
      </c>
      <c r="B29" s="45"/>
      <c r="C29" s="46"/>
      <c r="D29" s="47"/>
      <c r="E29" s="48"/>
      <c r="F29" s="48"/>
      <c r="G29" s="49"/>
      <c r="H29" s="49"/>
      <c r="I29" s="49"/>
      <c r="J29" s="49"/>
      <c r="K29" s="49"/>
      <c r="L29" s="342"/>
      <c r="M29" s="343"/>
      <c r="N29" s="343"/>
      <c r="O29" s="343"/>
      <c r="P29" s="343"/>
      <c r="Q29" s="343"/>
      <c r="R29" s="343"/>
      <c r="S29" s="343"/>
      <c r="T29" s="343"/>
      <c r="U29" s="343"/>
      <c r="V29" s="343"/>
      <c r="W29" s="343"/>
      <c r="X29" s="343"/>
      <c r="Y29" s="343"/>
      <c r="Z29" s="343"/>
      <c r="AA29" s="343"/>
      <c r="AB29" s="343"/>
      <c r="AC29" s="343"/>
      <c r="AD29" s="343"/>
      <c r="AE29" s="343"/>
      <c r="AF29" s="802"/>
      <c r="AG29" s="802"/>
      <c r="AH29" s="802"/>
      <c r="AI29" s="343"/>
      <c r="AJ29" s="1452"/>
      <c r="AK29" s="1453"/>
      <c r="AL29" s="1452"/>
      <c r="AM29" s="802"/>
      <c r="AN29" s="1704"/>
      <c r="AO29" s="1519"/>
      <c r="AP29" s="1519"/>
      <c r="AQ29" s="1614"/>
    </row>
    <row r="30" spans="1:43" s="4" customFormat="1" ht="18" x14ac:dyDescent="0.25">
      <c r="A30" s="21"/>
      <c r="B30" s="50"/>
      <c r="C30" s="51"/>
      <c r="D30" s="52"/>
      <c r="E30" s="53"/>
      <c r="F30" s="53"/>
      <c r="G30" s="54"/>
      <c r="H30" s="54"/>
      <c r="I30" s="54"/>
      <c r="J30" s="54"/>
      <c r="K30" s="54"/>
      <c r="L30" s="345"/>
      <c r="M30" s="346"/>
      <c r="N30" s="346"/>
      <c r="O30" s="346"/>
      <c r="P30" s="346"/>
      <c r="Q30" s="346"/>
      <c r="R30" s="346"/>
      <c r="S30" s="346"/>
      <c r="T30" s="346"/>
      <c r="U30" s="346"/>
      <c r="V30" s="346"/>
      <c r="W30" s="346"/>
      <c r="X30" s="346"/>
      <c r="Y30" s="346"/>
      <c r="Z30" s="346"/>
      <c r="AA30" s="346"/>
      <c r="AB30" s="346"/>
      <c r="AC30" s="346"/>
      <c r="AD30" s="346"/>
      <c r="AE30" s="346"/>
      <c r="AF30" s="803"/>
      <c r="AG30" s="803"/>
      <c r="AH30" s="803"/>
      <c r="AI30" s="346"/>
      <c r="AJ30" s="1454"/>
      <c r="AK30" s="1455"/>
      <c r="AL30" s="1454"/>
      <c r="AM30" s="803"/>
      <c r="AN30" s="1705"/>
      <c r="AO30" s="650"/>
      <c r="AP30" s="650"/>
      <c r="AQ30" s="1608"/>
    </row>
    <row r="31" spans="1:43" ht="15" x14ac:dyDescent="0.25">
      <c r="A31" s="33" t="s">
        <v>73</v>
      </c>
      <c r="B31" s="55">
        <f t="shared" ref="B31:AI31" si="11">B32+B33+B34+B35</f>
        <v>490.27800000000002</v>
      </c>
      <c r="C31" s="55">
        <f t="shared" si="11"/>
        <v>270.47899999999998</v>
      </c>
      <c r="D31" s="55">
        <f t="shared" si="11"/>
        <v>138.77699999999999</v>
      </c>
      <c r="E31" s="55">
        <f t="shared" si="11"/>
        <v>260.49700000000001</v>
      </c>
      <c r="F31" s="55">
        <f t="shared" si="11"/>
        <v>477.63200000000001</v>
      </c>
      <c r="G31" s="55">
        <f t="shared" si="11"/>
        <v>505</v>
      </c>
      <c r="H31" s="55">
        <f t="shared" si="11"/>
        <v>483.30900000000003</v>
      </c>
      <c r="I31" s="55">
        <f t="shared" si="11"/>
        <v>300</v>
      </c>
      <c r="J31" s="55">
        <f t="shared" si="11"/>
        <v>280</v>
      </c>
      <c r="K31" s="55">
        <f t="shared" si="11"/>
        <v>240</v>
      </c>
      <c r="L31" s="347">
        <f t="shared" si="11"/>
        <v>201.30700000000002</v>
      </c>
      <c r="M31" s="348">
        <f t="shared" si="11"/>
        <v>280</v>
      </c>
      <c r="N31" s="348">
        <f t="shared" si="11"/>
        <v>270</v>
      </c>
      <c r="O31" s="348">
        <f t="shared" si="11"/>
        <v>245</v>
      </c>
      <c r="P31" s="348">
        <f t="shared" si="11"/>
        <v>240</v>
      </c>
      <c r="Q31" s="348">
        <f t="shared" si="11"/>
        <v>238.089</v>
      </c>
      <c r="R31" s="348">
        <f t="shared" si="11"/>
        <v>260</v>
      </c>
      <c r="S31" s="348">
        <f t="shared" si="11"/>
        <v>235</v>
      </c>
      <c r="T31" s="348">
        <f t="shared" si="11"/>
        <v>230</v>
      </c>
      <c r="U31" s="348">
        <f t="shared" si="11"/>
        <v>230</v>
      </c>
      <c r="V31" s="348">
        <f t="shared" si="11"/>
        <v>230</v>
      </c>
      <c r="W31" s="348">
        <f t="shared" si="11"/>
        <v>214.30599999999998</v>
      </c>
      <c r="X31" s="348">
        <f t="shared" si="11"/>
        <v>0</v>
      </c>
      <c r="Y31" s="348">
        <f t="shared" si="11"/>
        <v>220</v>
      </c>
      <c r="Z31" s="348">
        <f t="shared" si="11"/>
        <v>220</v>
      </c>
      <c r="AA31" s="348">
        <f t="shared" si="11"/>
        <v>205</v>
      </c>
      <c r="AB31" s="348">
        <f t="shared" si="11"/>
        <v>201.953</v>
      </c>
      <c r="AC31" s="348">
        <f t="shared" si="11"/>
        <v>270</v>
      </c>
      <c r="AD31" s="348">
        <f t="shared" si="11"/>
        <v>260</v>
      </c>
      <c r="AE31" s="348">
        <f t="shared" si="11"/>
        <v>212</v>
      </c>
      <c r="AF31" s="804">
        <f t="shared" si="11"/>
        <v>202</v>
      </c>
      <c r="AG31" s="804">
        <f t="shared" si="11"/>
        <v>202</v>
      </c>
      <c r="AH31" s="804">
        <f t="shared" si="11"/>
        <v>195</v>
      </c>
      <c r="AI31" s="348">
        <f t="shared" si="11"/>
        <v>180.88900000000001</v>
      </c>
      <c r="AJ31" s="1456">
        <f t="shared" ref="AJ31:AP31" si="12">AJ32+AJ33+AJ34+AJ35</f>
        <v>195</v>
      </c>
      <c r="AK31" s="1457">
        <f t="shared" si="12"/>
        <v>185</v>
      </c>
      <c r="AL31" s="1456">
        <f t="shared" si="12"/>
        <v>197</v>
      </c>
      <c r="AM31" s="804">
        <f t="shared" si="12"/>
        <v>202</v>
      </c>
      <c r="AN31" s="1706">
        <f t="shared" si="12"/>
        <v>195</v>
      </c>
      <c r="AO31" s="804">
        <f>AO32+AO33+AO34+AO35</f>
        <v>191.6</v>
      </c>
      <c r="AP31" s="1119">
        <f t="shared" si="12"/>
        <v>212</v>
      </c>
      <c r="AQ31" s="1546">
        <f>AP31/AO31-1</f>
        <v>0.10647181628392488</v>
      </c>
    </row>
    <row r="32" spans="1:43" ht="17.25" x14ac:dyDescent="0.25">
      <c r="A32" s="34" t="s">
        <v>219</v>
      </c>
      <c r="B32" s="1156">
        <v>336.27800000000002</v>
      </c>
      <c r="C32" s="1156">
        <v>112.479</v>
      </c>
      <c r="D32" s="1156">
        <v>74.777000000000001</v>
      </c>
      <c r="E32" s="1156">
        <v>103.497</v>
      </c>
      <c r="F32" s="35">
        <v>274.63200000000001</v>
      </c>
      <c r="G32" s="35">
        <v>300</v>
      </c>
      <c r="H32" s="1156">
        <v>276.30900000000003</v>
      </c>
      <c r="I32" s="35">
        <v>150</v>
      </c>
      <c r="J32" s="35">
        <v>120</v>
      </c>
      <c r="K32" s="35">
        <v>80</v>
      </c>
      <c r="L32" s="1167">
        <v>65.307000000000002</v>
      </c>
      <c r="M32" s="350">
        <v>150</v>
      </c>
      <c r="N32" s="350">
        <v>140</v>
      </c>
      <c r="O32" s="350">
        <v>100</v>
      </c>
      <c r="P32" s="350">
        <v>70</v>
      </c>
      <c r="Q32" s="1277">
        <v>65.088999999999999</v>
      </c>
      <c r="R32" s="1278">
        <v>100</v>
      </c>
      <c r="S32" s="1278">
        <v>65</v>
      </c>
      <c r="T32" s="1278">
        <v>75</v>
      </c>
      <c r="U32" s="1278">
        <v>75</v>
      </c>
      <c r="V32" s="1278">
        <v>75</v>
      </c>
      <c r="W32" s="1277">
        <v>64.305999999999997</v>
      </c>
      <c r="X32" s="1278"/>
      <c r="Y32" s="1278">
        <v>60</v>
      </c>
      <c r="Z32" s="1278">
        <v>60</v>
      </c>
      <c r="AA32" s="1278">
        <v>45</v>
      </c>
      <c r="AB32" s="1277">
        <v>41.953000000000003</v>
      </c>
      <c r="AC32" s="350">
        <v>110</v>
      </c>
      <c r="AD32" s="350">
        <v>100</v>
      </c>
      <c r="AE32" s="1057">
        <v>50</v>
      </c>
      <c r="AF32" s="896">
        <v>40</v>
      </c>
      <c r="AG32" s="896">
        <v>40</v>
      </c>
      <c r="AH32" s="1087">
        <v>30</v>
      </c>
      <c r="AI32" s="302">
        <v>26.888999999999999</v>
      </c>
      <c r="AJ32" s="1428">
        <v>30</v>
      </c>
      <c r="AK32" s="1429">
        <v>30</v>
      </c>
      <c r="AL32" s="1428">
        <v>40</v>
      </c>
      <c r="AM32" s="1314">
        <v>35</v>
      </c>
      <c r="AN32" s="1693">
        <v>30</v>
      </c>
      <c r="AO32" s="1732">
        <v>26.6</v>
      </c>
      <c r="AP32" s="175">
        <v>50</v>
      </c>
      <c r="AQ32" s="1547">
        <f>AP32/AO32-1</f>
        <v>0.87969924812030076</v>
      </c>
    </row>
    <row r="33" spans="1:43" ht="17.25" x14ac:dyDescent="0.25">
      <c r="A33" s="34" t="s">
        <v>222</v>
      </c>
      <c r="B33" s="57">
        <v>94</v>
      </c>
      <c r="C33" s="57">
        <v>66</v>
      </c>
      <c r="D33" s="57">
        <v>2</v>
      </c>
      <c r="E33" s="57">
        <v>38</v>
      </c>
      <c r="F33" s="35">
        <v>78</v>
      </c>
      <c r="G33" s="35">
        <v>80</v>
      </c>
      <c r="H33" s="57">
        <v>82</v>
      </c>
      <c r="I33" s="35">
        <v>40</v>
      </c>
      <c r="J33" s="35">
        <v>40</v>
      </c>
      <c r="K33" s="35">
        <v>40</v>
      </c>
      <c r="L33" s="349">
        <v>16</v>
      </c>
      <c r="M33" s="350">
        <v>15</v>
      </c>
      <c r="N33" s="350">
        <v>15</v>
      </c>
      <c r="O33" s="350">
        <v>15</v>
      </c>
      <c r="P33" s="350">
        <v>35</v>
      </c>
      <c r="Q33" s="302">
        <v>38</v>
      </c>
      <c r="R33" s="350">
        <v>20</v>
      </c>
      <c r="S33" s="350">
        <v>35</v>
      </c>
      <c r="T33" s="350">
        <v>20</v>
      </c>
      <c r="U33" s="350">
        <v>20</v>
      </c>
      <c r="V33" s="350">
        <v>20</v>
      </c>
      <c r="W33" s="302">
        <v>12</v>
      </c>
      <c r="X33" s="350"/>
      <c r="Y33" s="350">
        <v>20</v>
      </c>
      <c r="Z33" s="350">
        <v>20</v>
      </c>
      <c r="AA33" s="350">
        <v>20</v>
      </c>
      <c r="AB33" s="302">
        <v>20</v>
      </c>
      <c r="AC33" s="350">
        <v>20</v>
      </c>
      <c r="AD33" s="350">
        <v>20</v>
      </c>
      <c r="AE33" s="1057">
        <v>20</v>
      </c>
      <c r="AF33" s="896">
        <v>20</v>
      </c>
      <c r="AG33" s="896">
        <v>20</v>
      </c>
      <c r="AH33" s="1087">
        <v>20</v>
      </c>
      <c r="AI33" s="302">
        <v>9</v>
      </c>
      <c r="AJ33" s="1428">
        <v>20</v>
      </c>
      <c r="AK33" s="1429">
        <v>10</v>
      </c>
      <c r="AL33" s="1428">
        <v>10</v>
      </c>
      <c r="AM33" s="1314">
        <v>10</v>
      </c>
      <c r="AN33" s="1693">
        <v>10</v>
      </c>
      <c r="AO33" s="1314">
        <v>10</v>
      </c>
      <c r="AP33" s="175">
        <v>10</v>
      </c>
      <c r="AQ33" s="1547">
        <f>AP33/AO33-1</f>
        <v>0</v>
      </c>
    </row>
    <row r="34" spans="1:43" ht="15" x14ac:dyDescent="0.25">
      <c r="A34" s="34" t="s">
        <v>17</v>
      </c>
      <c r="B34" s="57">
        <v>30</v>
      </c>
      <c r="C34" s="57">
        <v>80</v>
      </c>
      <c r="D34" s="57">
        <v>50</v>
      </c>
      <c r="E34" s="57">
        <v>90</v>
      </c>
      <c r="F34" s="35">
        <v>100</v>
      </c>
      <c r="G34" s="35">
        <v>100</v>
      </c>
      <c r="H34" s="57">
        <v>100</v>
      </c>
      <c r="I34" s="35">
        <v>90</v>
      </c>
      <c r="J34" s="35">
        <v>100</v>
      </c>
      <c r="K34" s="35">
        <v>100</v>
      </c>
      <c r="L34" s="349">
        <v>100</v>
      </c>
      <c r="M34" s="350">
        <v>100</v>
      </c>
      <c r="N34" s="350">
        <v>100</v>
      </c>
      <c r="O34" s="350">
        <v>115</v>
      </c>
      <c r="P34" s="350">
        <v>120</v>
      </c>
      <c r="Q34" s="302">
        <v>120</v>
      </c>
      <c r="R34" s="350">
        <v>120</v>
      </c>
      <c r="S34" s="350">
        <v>120</v>
      </c>
      <c r="T34" s="350">
        <v>120</v>
      </c>
      <c r="U34" s="350">
        <v>120</v>
      </c>
      <c r="V34" s="350">
        <v>120</v>
      </c>
      <c r="W34" s="302">
        <v>120</v>
      </c>
      <c r="X34" s="350"/>
      <c r="Y34" s="350">
        <v>120</v>
      </c>
      <c r="Z34" s="350">
        <v>120</v>
      </c>
      <c r="AA34" s="350">
        <v>120</v>
      </c>
      <c r="AB34" s="302">
        <v>120</v>
      </c>
      <c r="AC34" s="350">
        <v>120</v>
      </c>
      <c r="AD34" s="350">
        <v>120</v>
      </c>
      <c r="AE34" s="1057">
        <v>120</v>
      </c>
      <c r="AF34" s="896">
        <v>120</v>
      </c>
      <c r="AG34" s="896">
        <v>120</v>
      </c>
      <c r="AH34" s="1087">
        <v>120</v>
      </c>
      <c r="AI34" s="302">
        <v>120</v>
      </c>
      <c r="AJ34" s="1428">
        <v>120</v>
      </c>
      <c r="AK34" s="1429">
        <v>120</v>
      </c>
      <c r="AL34" s="1428">
        <v>120</v>
      </c>
      <c r="AM34" s="1314">
        <v>130</v>
      </c>
      <c r="AN34" s="1693">
        <v>130</v>
      </c>
      <c r="AO34" s="1314">
        <v>130</v>
      </c>
      <c r="AP34" s="175">
        <v>130</v>
      </c>
      <c r="AQ34" s="1547">
        <f>AP34/AO34-1</f>
        <v>0</v>
      </c>
    </row>
    <row r="35" spans="1:43" ht="15" x14ac:dyDescent="0.25">
      <c r="A35" s="34" t="s">
        <v>7</v>
      </c>
      <c r="B35" s="57">
        <v>30</v>
      </c>
      <c r="C35" s="57">
        <v>12</v>
      </c>
      <c r="D35" s="57">
        <v>12</v>
      </c>
      <c r="E35" s="57">
        <v>29</v>
      </c>
      <c r="F35" s="35">
        <v>25</v>
      </c>
      <c r="G35" s="35">
        <v>25</v>
      </c>
      <c r="H35" s="57">
        <v>25</v>
      </c>
      <c r="I35" s="35">
        <v>20</v>
      </c>
      <c r="J35" s="35">
        <v>20</v>
      </c>
      <c r="K35" s="35">
        <v>20</v>
      </c>
      <c r="L35" s="349">
        <v>20</v>
      </c>
      <c r="M35" s="350">
        <v>15</v>
      </c>
      <c r="N35" s="350">
        <v>15</v>
      </c>
      <c r="O35" s="350">
        <v>15</v>
      </c>
      <c r="P35" s="350">
        <v>15</v>
      </c>
      <c r="Q35" s="302">
        <v>15</v>
      </c>
      <c r="R35" s="350">
        <v>20</v>
      </c>
      <c r="S35" s="350">
        <v>15</v>
      </c>
      <c r="T35" s="350">
        <v>15</v>
      </c>
      <c r="U35" s="350">
        <v>15</v>
      </c>
      <c r="V35" s="350">
        <v>15</v>
      </c>
      <c r="W35" s="302">
        <v>18</v>
      </c>
      <c r="X35" s="350"/>
      <c r="Y35" s="350">
        <v>20</v>
      </c>
      <c r="Z35" s="350">
        <v>20</v>
      </c>
      <c r="AA35" s="350">
        <v>20</v>
      </c>
      <c r="AB35" s="302">
        <v>20</v>
      </c>
      <c r="AC35" s="350">
        <v>20</v>
      </c>
      <c r="AD35" s="350">
        <v>20</v>
      </c>
      <c r="AE35" s="1057">
        <v>22</v>
      </c>
      <c r="AF35" s="896">
        <v>22</v>
      </c>
      <c r="AG35" s="896">
        <v>22</v>
      </c>
      <c r="AH35" s="1087">
        <v>25</v>
      </c>
      <c r="AI35" s="302">
        <v>25</v>
      </c>
      <c r="AJ35" s="1428">
        <v>25</v>
      </c>
      <c r="AK35" s="1429">
        <v>25</v>
      </c>
      <c r="AL35" s="1428">
        <v>27</v>
      </c>
      <c r="AM35" s="1314">
        <v>27</v>
      </c>
      <c r="AN35" s="1693">
        <v>25</v>
      </c>
      <c r="AO35" s="1314">
        <v>25</v>
      </c>
      <c r="AP35" s="175">
        <v>22</v>
      </c>
      <c r="AQ35" s="1547">
        <f>AP35/AO35-1</f>
        <v>-0.12</v>
      </c>
    </row>
    <row r="36" spans="1:43" ht="15" x14ac:dyDescent="0.25">
      <c r="A36" s="34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351"/>
      <c r="M36" s="328"/>
      <c r="N36" s="328"/>
      <c r="O36" s="328"/>
      <c r="P36" s="328"/>
      <c r="Q36" s="352"/>
      <c r="R36" s="328"/>
      <c r="S36" s="328"/>
      <c r="T36" s="328"/>
      <c r="U36" s="328"/>
      <c r="V36" s="328"/>
      <c r="W36" s="352"/>
      <c r="X36" s="353"/>
      <c r="Y36" s="328"/>
      <c r="Z36" s="328"/>
      <c r="AA36" s="328"/>
      <c r="AB36" s="352"/>
      <c r="AC36" s="328"/>
      <c r="AD36" s="328"/>
      <c r="AE36" s="1066"/>
      <c r="AF36" s="906"/>
      <c r="AG36" s="906"/>
      <c r="AH36" s="1094"/>
      <c r="AI36" s="352"/>
      <c r="AJ36" s="1458"/>
      <c r="AK36" s="1459"/>
      <c r="AL36" s="1458"/>
      <c r="AM36" s="1322"/>
      <c r="AN36" s="1707"/>
      <c r="AO36" s="1520"/>
      <c r="AP36" s="1520"/>
      <c r="AQ36" s="1547"/>
    </row>
    <row r="37" spans="1:43" ht="15" x14ac:dyDescent="0.25">
      <c r="A37" s="36" t="s">
        <v>9</v>
      </c>
      <c r="B37" s="348">
        <f t="shared" ref="B37:AI37" si="13">B38+B39</f>
        <v>455.79200000000003</v>
      </c>
      <c r="C37" s="56">
        <f t="shared" si="13"/>
        <v>243.59100000000001</v>
      </c>
      <c r="D37" s="56">
        <f t="shared" si="13"/>
        <v>254.20299999999997</v>
      </c>
      <c r="E37" s="56">
        <f t="shared" si="13"/>
        <v>206.20099999999999</v>
      </c>
      <c r="F37" s="56">
        <f t="shared" si="13"/>
        <v>368.69799999999998</v>
      </c>
      <c r="G37" s="56">
        <f t="shared" si="13"/>
        <v>360</v>
      </c>
      <c r="H37" s="56">
        <f t="shared" si="13"/>
        <v>369.83500000000004</v>
      </c>
      <c r="I37" s="56">
        <f t="shared" si="13"/>
        <v>270</v>
      </c>
      <c r="J37" s="56">
        <f t="shared" si="13"/>
        <v>270</v>
      </c>
      <c r="K37" s="56">
        <f t="shared" si="13"/>
        <v>335</v>
      </c>
      <c r="L37" s="347">
        <f t="shared" si="13"/>
        <v>359.46100000000001</v>
      </c>
      <c r="M37" s="348">
        <f t="shared" si="13"/>
        <v>200</v>
      </c>
      <c r="N37" s="348">
        <f t="shared" si="13"/>
        <v>175</v>
      </c>
      <c r="O37" s="348">
        <f t="shared" si="13"/>
        <v>175</v>
      </c>
      <c r="P37" s="348">
        <f t="shared" si="13"/>
        <v>210</v>
      </c>
      <c r="Q37" s="348">
        <f t="shared" si="13"/>
        <v>209.04700000000003</v>
      </c>
      <c r="R37" s="348">
        <f t="shared" si="13"/>
        <v>225</v>
      </c>
      <c r="S37" s="348">
        <f t="shared" si="13"/>
        <v>200</v>
      </c>
      <c r="T37" s="348">
        <f t="shared" si="13"/>
        <v>190</v>
      </c>
      <c r="U37" s="348">
        <f t="shared" si="13"/>
        <v>195</v>
      </c>
      <c r="V37" s="348">
        <f t="shared" si="13"/>
        <v>200</v>
      </c>
      <c r="W37" s="348">
        <f t="shared" si="13"/>
        <v>210.58</v>
      </c>
      <c r="X37" s="348">
        <f t="shared" si="13"/>
        <v>0</v>
      </c>
      <c r="Y37" s="348">
        <f t="shared" si="13"/>
        <v>190</v>
      </c>
      <c r="Z37" s="348">
        <f t="shared" si="13"/>
        <v>165</v>
      </c>
      <c r="AA37" s="348">
        <f t="shared" si="13"/>
        <v>160</v>
      </c>
      <c r="AB37" s="348">
        <f t="shared" si="13"/>
        <v>194.05099999999999</v>
      </c>
      <c r="AC37" s="348">
        <f t="shared" si="13"/>
        <v>250</v>
      </c>
      <c r="AD37" s="348">
        <f t="shared" si="13"/>
        <v>230</v>
      </c>
      <c r="AE37" s="348">
        <f t="shared" si="13"/>
        <v>280</v>
      </c>
      <c r="AF37" s="804">
        <f t="shared" si="13"/>
        <v>290</v>
      </c>
      <c r="AG37" s="804">
        <f t="shared" si="13"/>
        <v>300</v>
      </c>
      <c r="AH37" s="804">
        <f t="shared" si="13"/>
        <v>335</v>
      </c>
      <c r="AI37" s="348">
        <f t="shared" si="13"/>
        <v>333.61799999999999</v>
      </c>
      <c r="AJ37" s="1456">
        <f t="shared" ref="AJ37:AP37" si="14">AJ38+AJ39</f>
        <v>245</v>
      </c>
      <c r="AK37" s="1457">
        <f t="shared" si="14"/>
        <v>230</v>
      </c>
      <c r="AL37" s="1456">
        <f t="shared" si="14"/>
        <v>255</v>
      </c>
      <c r="AM37" s="804">
        <f t="shared" si="14"/>
        <v>300</v>
      </c>
      <c r="AN37" s="1706">
        <f t="shared" si="14"/>
        <v>300</v>
      </c>
      <c r="AO37" s="804">
        <f>AO38+AO39</f>
        <v>304.7</v>
      </c>
      <c r="AP37" s="1119">
        <f t="shared" si="14"/>
        <v>320</v>
      </c>
      <c r="AQ37" s="1546">
        <f>AP37/AO37-1</f>
        <v>5.0213324581555696E-2</v>
      </c>
    </row>
    <row r="38" spans="1:43" ht="15" x14ac:dyDescent="0.25">
      <c r="A38" s="34" t="s">
        <v>10</v>
      </c>
      <c r="B38" s="1156">
        <v>251.178</v>
      </c>
      <c r="C38" s="1156">
        <v>159.68899999999999</v>
      </c>
      <c r="D38" s="1156">
        <v>159.72399999999999</v>
      </c>
      <c r="E38" s="1156">
        <v>132.03299999999999</v>
      </c>
      <c r="F38" s="35">
        <v>212.245</v>
      </c>
      <c r="G38" s="35">
        <v>200</v>
      </c>
      <c r="H38" s="1156">
        <v>213.38200000000001</v>
      </c>
      <c r="I38" s="35">
        <v>100</v>
      </c>
      <c r="J38" s="35">
        <v>130</v>
      </c>
      <c r="K38" s="35">
        <v>100</v>
      </c>
      <c r="L38" s="1167">
        <v>128.01300000000001</v>
      </c>
      <c r="M38" s="350">
        <v>125</v>
      </c>
      <c r="N38" s="350">
        <v>140</v>
      </c>
      <c r="O38" s="350">
        <v>140</v>
      </c>
      <c r="P38" s="350">
        <v>150</v>
      </c>
      <c r="Q38" s="1277">
        <v>150.27600000000001</v>
      </c>
      <c r="R38" s="1278">
        <v>150</v>
      </c>
      <c r="S38" s="1278">
        <v>140</v>
      </c>
      <c r="T38" s="1278">
        <v>150</v>
      </c>
      <c r="U38" s="1278">
        <v>150</v>
      </c>
      <c r="V38" s="1278">
        <v>155</v>
      </c>
      <c r="W38" s="1277">
        <v>161.13900000000001</v>
      </c>
      <c r="X38" s="1278"/>
      <c r="Y38" s="1278">
        <v>145</v>
      </c>
      <c r="Z38" s="1278">
        <v>130</v>
      </c>
      <c r="AA38" s="1278">
        <v>130</v>
      </c>
      <c r="AB38" s="1277">
        <v>144.773</v>
      </c>
      <c r="AC38" s="1278">
        <v>200</v>
      </c>
      <c r="AD38" s="1278">
        <v>150</v>
      </c>
      <c r="AE38" s="1277">
        <v>150</v>
      </c>
      <c r="AF38" s="1279">
        <v>140</v>
      </c>
      <c r="AG38" s="1279">
        <v>120</v>
      </c>
      <c r="AH38" s="1279">
        <v>115</v>
      </c>
      <c r="AI38" s="1277">
        <v>117.952</v>
      </c>
      <c r="AJ38" s="1428">
        <v>115</v>
      </c>
      <c r="AK38" s="1429">
        <v>90</v>
      </c>
      <c r="AL38" s="1428">
        <v>100</v>
      </c>
      <c r="AM38" s="1314">
        <v>115</v>
      </c>
      <c r="AN38" s="1693">
        <v>115</v>
      </c>
      <c r="AO38" s="1732">
        <v>120</v>
      </c>
      <c r="AP38" s="175">
        <v>160</v>
      </c>
      <c r="AQ38" s="1547">
        <f>AP38/AO38-1</f>
        <v>0.33333333333333326</v>
      </c>
    </row>
    <row r="39" spans="1:43" ht="15" x14ac:dyDescent="0.25">
      <c r="A39" s="34" t="s">
        <v>3</v>
      </c>
      <c r="B39" s="1156">
        <v>204.614</v>
      </c>
      <c r="C39" s="1156">
        <v>83.902000000000001</v>
      </c>
      <c r="D39" s="1156">
        <v>94.478999999999999</v>
      </c>
      <c r="E39" s="1156">
        <v>74.168000000000006</v>
      </c>
      <c r="F39" s="35">
        <v>156.453</v>
      </c>
      <c r="G39" s="35">
        <v>160</v>
      </c>
      <c r="H39" s="1156">
        <v>156.453</v>
      </c>
      <c r="I39" s="35">
        <v>170</v>
      </c>
      <c r="J39" s="35">
        <v>140</v>
      </c>
      <c r="K39" s="35">
        <v>235</v>
      </c>
      <c r="L39" s="1167">
        <v>231.44800000000001</v>
      </c>
      <c r="M39" s="350">
        <v>75</v>
      </c>
      <c r="N39" s="350">
        <v>35</v>
      </c>
      <c r="O39" s="350">
        <v>35</v>
      </c>
      <c r="P39" s="350">
        <v>60</v>
      </c>
      <c r="Q39" s="1277">
        <v>58.771000000000001</v>
      </c>
      <c r="R39" s="1278">
        <v>75</v>
      </c>
      <c r="S39" s="1278">
        <v>60</v>
      </c>
      <c r="T39" s="1278">
        <v>40</v>
      </c>
      <c r="U39" s="1278">
        <v>45</v>
      </c>
      <c r="V39" s="1278">
        <v>45</v>
      </c>
      <c r="W39" s="1277">
        <v>49.441000000000003</v>
      </c>
      <c r="X39" s="1278"/>
      <c r="Y39" s="1278">
        <v>45</v>
      </c>
      <c r="Z39" s="1278">
        <v>35</v>
      </c>
      <c r="AA39" s="1278">
        <v>30</v>
      </c>
      <c r="AB39" s="1277">
        <v>49.277999999999999</v>
      </c>
      <c r="AC39" s="1278">
        <v>50</v>
      </c>
      <c r="AD39" s="1278">
        <v>80</v>
      </c>
      <c r="AE39" s="1277">
        <v>130</v>
      </c>
      <c r="AF39" s="1279">
        <v>150</v>
      </c>
      <c r="AG39" s="1279">
        <v>180</v>
      </c>
      <c r="AH39" s="1279">
        <v>220</v>
      </c>
      <c r="AI39" s="1277">
        <v>215.666</v>
      </c>
      <c r="AJ39" s="1428">
        <v>130</v>
      </c>
      <c r="AK39" s="1429">
        <v>140</v>
      </c>
      <c r="AL39" s="1428">
        <v>155</v>
      </c>
      <c r="AM39" s="1314">
        <v>185</v>
      </c>
      <c r="AN39" s="1693">
        <v>185</v>
      </c>
      <c r="AO39" s="175">
        <v>184.7</v>
      </c>
      <c r="AP39" s="175">
        <v>160</v>
      </c>
      <c r="AQ39" s="1547">
        <f>AP39/AO39-1</f>
        <v>-0.13373037357877637</v>
      </c>
    </row>
    <row r="40" spans="1:43" ht="18.75" thickBot="1" x14ac:dyDescent="0.3">
      <c r="A40" s="37" t="s">
        <v>74</v>
      </c>
      <c r="B40" s="83">
        <f t="shared" ref="B40:AI40" si="15">B31+B37</f>
        <v>946.07</v>
      </c>
      <c r="C40" s="83">
        <f t="shared" si="15"/>
        <v>514.06999999999994</v>
      </c>
      <c r="D40" s="83">
        <f t="shared" si="15"/>
        <v>392.97999999999996</v>
      </c>
      <c r="E40" s="83">
        <f t="shared" si="15"/>
        <v>466.69799999999998</v>
      </c>
      <c r="F40" s="83">
        <f t="shared" si="15"/>
        <v>846.32999999999993</v>
      </c>
      <c r="G40" s="83">
        <f t="shared" si="15"/>
        <v>865</v>
      </c>
      <c r="H40" s="83">
        <f t="shared" si="15"/>
        <v>853.14400000000001</v>
      </c>
      <c r="I40" s="83">
        <f t="shared" si="15"/>
        <v>570</v>
      </c>
      <c r="J40" s="83">
        <f t="shared" si="15"/>
        <v>550</v>
      </c>
      <c r="K40" s="83">
        <f t="shared" si="15"/>
        <v>575</v>
      </c>
      <c r="L40" s="354">
        <f t="shared" si="15"/>
        <v>560.76800000000003</v>
      </c>
      <c r="M40" s="337">
        <f t="shared" si="15"/>
        <v>480</v>
      </c>
      <c r="N40" s="337">
        <f t="shared" si="15"/>
        <v>445</v>
      </c>
      <c r="O40" s="337">
        <f t="shared" si="15"/>
        <v>420</v>
      </c>
      <c r="P40" s="337">
        <f t="shared" si="15"/>
        <v>450</v>
      </c>
      <c r="Q40" s="337">
        <f t="shared" si="15"/>
        <v>447.13600000000002</v>
      </c>
      <c r="R40" s="337">
        <f t="shared" si="15"/>
        <v>485</v>
      </c>
      <c r="S40" s="337">
        <f t="shared" si="15"/>
        <v>435</v>
      </c>
      <c r="T40" s="337">
        <f t="shared" si="15"/>
        <v>420</v>
      </c>
      <c r="U40" s="337">
        <f t="shared" si="15"/>
        <v>425</v>
      </c>
      <c r="V40" s="337">
        <f t="shared" si="15"/>
        <v>430</v>
      </c>
      <c r="W40" s="337">
        <f t="shared" si="15"/>
        <v>424.88599999999997</v>
      </c>
      <c r="X40" s="337">
        <f t="shared" si="15"/>
        <v>0</v>
      </c>
      <c r="Y40" s="337">
        <f t="shared" si="15"/>
        <v>410</v>
      </c>
      <c r="Z40" s="337">
        <f t="shared" si="15"/>
        <v>385</v>
      </c>
      <c r="AA40" s="337">
        <f t="shared" si="15"/>
        <v>365</v>
      </c>
      <c r="AB40" s="337">
        <f t="shared" si="15"/>
        <v>396.00400000000002</v>
      </c>
      <c r="AC40" s="337">
        <f t="shared" si="15"/>
        <v>520</v>
      </c>
      <c r="AD40" s="337">
        <f t="shared" si="15"/>
        <v>490</v>
      </c>
      <c r="AE40" s="337">
        <f t="shared" si="15"/>
        <v>492</v>
      </c>
      <c r="AF40" s="800">
        <f t="shared" si="15"/>
        <v>492</v>
      </c>
      <c r="AG40" s="800">
        <f t="shared" si="15"/>
        <v>502</v>
      </c>
      <c r="AH40" s="800">
        <f t="shared" si="15"/>
        <v>530</v>
      </c>
      <c r="AI40" s="337">
        <f t="shared" si="15"/>
        <v>514.50700000000006</v>
      </c>
      <c r="AJ40" s="1448">
        <f t="shared" ref="AJ40:AP40" si="16">AJ31+AJ37</f>
        <v>440</v>
      </c>
      <c r="AK40" s="1449">
        <f t="shared" si="16"/>
        <v>415</v>
      </c>
      <c r="AL40" s="1448">
        <f t="shared" si="16"/>
        <v>452</v>
      </c>
      <c r="AM40" s="800">
        <f t="shared" si="16"/>
        <v>502</v>
      </c>
      <c r="AN40" s="1702">
        <f t="shared" si="16"/>
        <v>495</v>
      </c>
      <c r="AO40" s="800">
        <f>AO31+AO37</f>
        <v>496.29999999999995</v>
      </c>
      <c r="AP40" s="225">
        <f t="shared" si="16"/>
        <v>532</v>
      </c>
      <c r="AQ40" s="1615">
        <f>AP40/AO40-1</f>
        <v>7.1932299012694045E-2</v>
      </c>
    </row>
    <row r="41" spans="1:43" ht="19.5" thickTop="1" thickBot="1" x14ac:dyDescent="0.3">
      <c r="A41" s="84"/>
      <c r="B41" s="85"/>
      <c r="C41" s="86"/>
      <c r="D41" s="85"/>
      <c r="E41" s="85"/>
      <c r="F41" s="87"/>
      <c r="G41" s="85"/>
      <c r="H41" s="85"/>
      <c r="I41" s="85"/>
      <c r="J41" s="85"/>
      <c r="K41" s="85"/>
      <c r="L41" s="355"/>
      <c r="M41" s="356"/>
      <c r="N41" s="356"/>
      <c r="O41" s="356"/>
      <c r="P41" s="356"/>
      <c r="Q41" s="356"/>
      <c r="R41" s="356"/>
      <c r="S41" s="356"/>
      <c r="T41" s="356"/>
      <c r="U41" s="356"/>
      <c r="V41" s="356"/>
      <c r="W41" s="356"/>
      <c r="X41" s="357"/>
      <c r="Y41" s="356"/>
      <c r="Z41" s="356"/>
      <c r="AA41" s="356"/>
      <c r="AB41" s="356"/>
      <c r="AC41" s="356"/>
      <c r="AD41" s="356"/>
      <c r="AE41" s="356"/>
      <c r="AF41" s="805"/>
      <c r="AG41" s="805"/>
      <c r="AH41" s="805"/>
      <c r="AI41" s="356"/>
      <c r="AJ41" s="1460"/>
      <c r="AK41" s="1461"/>
      <c r="AL41" s="1460"/>
      <c r="AM41" s="805"/>
      <c r="AN41" s="1708"/>
      <c r="AO41" s="652"/>
      <c r="AP41" s="652"/>
      <c r="AQ41" s="1616"/>
    </row>
    <row r="42" spans="1:43" ht="21.75" thickTop="1" x14ac:dyDescent="0.25">
      <c r="A42" s="88" t="s">
        <v>223</v>
      </c>
      <c r="B42" s="89">
        <f t="shared" ref="B42:AH42" si="17">B27-B40</f>
        <v>62.196999999999889</v>
      </c>
      <c r="C42" s="89">
        <f t="shared" si="17"/>
        <v>59.211999999999989</v>
      </c>
      <c r="D42" s="89">
        <f t="shared" si="17"/>
        <v>44.211000000000013</v>
      </c>
      <c r="E42" s="89">
        <f t="shared" si="17"/>
        <v>35.009000000000015</v>
      </c>
      <c r="F42" s="89">
        <f t="shared" si="17"/>
        <v>83.069000000000074</v>
      </c>
      <c r="G42" s="89">
        <f t="shared" si="17"/>
        <v>77.231999999999971</v>
      </c>
      <c r="H42" s="89">
        <f t="shared" si="17"/>
        <v>81.682999999999993</v>
      </c>
      <c r="I42" s="89">
        <f t="shared" si="17"/>
        <v>61.409999999999968</v>
      </c>
      <c r="J42" s="89">
        <f t="shared" si="17"/>
        <v>73.649999999999977</v>
      </c>
      <c r="K42" s="89">
        <f t="shared" si="17"/>
        <v>48</v>
      </c>
      <c r="L42" s="354">
        <f t="shared" si="17"/>
        <v>49.884999999999991</v>
      </c>
      <c r="M42" s="337">
        <f t="shared" si="17"/>
        <v>47</v>
      </c>
      <c r="N42" s="337">
        <f t="shared" si="17"/>
        <v>71.200000000000045</v>
      </c>
      <c r="O42" s="337">
        <f t="shared" si="17"/>
        <v>95</v>
      </c>
      <c r="P42" s="337">
        <f t="shared" si="17"/>
        <v>58</v>
      </c>
      <c r="Q42" s="337">
        <f>SUM(Q43:Q44)</f>
        <v>59.866999999999997</v>
      </c>
      <c r="R42" s="337">
        <f t="shared" si="17"/>
        <v>47.639999999999986</v>
      </c>
      <c r="S42" s="337">
        <f t="shared" si="17"/>
        <v>56</v>
      </c>
      <c r="T42" s="337">
        <f t="shared" si="17"/>
        <v>37</v>
      </c>
      <c r="U42" s="337">
        <f t="shared" si="17"/>
        <v>29</v>
      </c>
      <c r="V42" s="337">
        <f t="shared" si="17"/>
        <v>36</v>
      </c>
      <c r="W42" s="337">
        <f>SUM(W43:W44)</f>
        <v>38.138999999999996</v>
      </c>
      <c r="X42" s="337">
        <f t="shared" si="17"/>
        <v>36</v>
      </c>
      <c r="Y42" s="337">
        <f t="shared" si="17"/>
        <v>59</v>
      </c>
      <c r="Z42" s="337">
        <f t="shared" si="17"/>
        <v>77</v>
      </c>
      <c r="AA42" s="337">
        <f t="shared" si="17"/>
        <v>88</v>
      </c>
      <c r="AB42" s="337">
        <f>SUM(AB43:AB44)</f>
        <v>58.658000000000001</v>
      </c>
      <c r="AC42" s="337">
        <f t="shared" si="17"/>
        <v>86</v>
      </c>
      <c r="AD42" s="337">
        <f t="shared" si="17"/>
        <v>71.79200000000003</v>
      </c>
      <c r="AE42" s="337">
        <f t="shared" si="17"/>
        <v>56</v>
      </c>
      <c r="AF42" s="800">
        <f t="shared" si="17"/>
        <v>60</v>
      </c>
      <c r="AG42" s="800">
        <f t="shared" si="17"/>
        <v>72</v>
      </c>
      <c r="AH42" s="800">
        <f t="shared" si="17"/>
        <v>81.658000000000015</v>
      </c>
      <c r="AI42" s="337">
        <f>SUM(AI43:AI44)</f>
        <v>66.378</v>
      </c>
      <c r="AJ42" s="1448">
        <f t="shared" ref="AJ42:AP42" si="18">AJ27-AJ40</f>
        <v>96.73473686189709</v>
      </c>
      <c r="AK42" s="1449">
        <f t="shared" si="18"/>
        <v>17.377999999999986</v>
      </c>
      <c r="AL42" s="1448">
        <f t="shared" si="18"/>
        <v>72.222999999999956</v>
      </c>
      <c r="AM42" s="800">
        <f t="shared" si="18"/>
        <v>39.90300000000002</v>
      </c>
      <c r="AN42" s="1702">
        <f t="shared" si="18"/>
        <v>59.868127637691032</v>
      </c>
      <c r="AO42" s="800">
        <f>SUM(AO43:AO44)</f>
        <v>76.400000000000006</v>
      </c>
      <c r="AP42" s="225">
        <f t="shared" si="18"/>
        <v>99.300500061708931</v>
      </c>
      <c r="AQ42" s="1615">
        <f>AP42/AO42-1</f>
        <v>0.29974476520561422</v>
      </c>
    </row>
    <row r="43" spans="1:43" ht="14.25" x14ac:dyDescent="0.2">
      <c r="A43" s="34" t="s">
        <v>11</v>
      </c>
      <c r="B43" s="1156">
        <v>52.29</v>
      </c>
      <c r="C43" s="1156">
        <v>52.966000000000001</v>
      </c>
      <c r="D43" s="1156">
        <v>41.045000000000002</v>
      </c>
      <c r="E43" s="1156">
        <v>31.515999999999998</v>
      </c>
      <c r="F43" s="35">
        <v>77.326999999999998</v>
      </c>
      <c r="G43" s="35"/>
      <c r="H43" s="1156">
        <v>75.888000000000005</v>
      </c>
      <c r="I43" s="35"/>
      <c r="J43" s="35"/>
      <c r="K43" s="35">
        <v>47</v>
      </c>
      <c r="L43" s="1167">
        <v>46.612000000000002</v>
      </c>
      <c r="M43" s="350"/>
      <c r="N43" s="350"/>
      <c r="O43" s="350"/>
      <c r="P43" s="350">
        <v>58</v>
      </c>
      <c r="Q43" s="1277">
        <v>57.189</v>
      </c>
      <c r="R43" s="1278"/>
      <c r="S43" s="1278"/>
      <c r="T43" s="1278"/>
      <c r="U43" s="1278"/>
      <c r="V43" s="1278">
        <v>36</v>
      </c>
      <c r="W43" s="1277">
        <v>36.021999999999998</v>
      </c>
      <c r="X43" s="1278"/>
      <c r="Y43" s="1278"/>
      <c r="Z43" s="1278"/>
      <c r="AA43" s="1278"/>
      <c r="AB43" s="1277">
        <v>57.042000000000002</v>
      </c>
      <c r="AC43" s="1278"/>
      <c r="AD43" s="1278"/>
      <c r="AE43" s="1278"/>
      <c r="AF43" s="1280"/>
      <c r="AG43" s="1280"/>
      <c r="AH43" s="1280"/>
      <c r="AI43" s="1277">
        <v>65.078000000000003</v>
      </c>
      <c r="AJ43" s="1462"/>
      <c r="AK43" s="1429"/>
      <c r="AL43" s="1428"/>
      <c r="AM43" s="1314"/>
      <c r="AN43" s="1693"/>
      <c r="AO43" s="1732">
        <v>74.2</v>
      </c>
      <c r="AP43" s="175"/>
      <c r="AQ43" s="1610"/>
    </row>
    <row r="44" spans="1:43" ht="14.25" x14ac:dyDescent="0.2">
      <c r="A44" s="606" t="s">
        <v>12</v>
      </c>
      <c r="B44" s="1215">
        <v>9.8109999999999999</v>
      </c>
      <c r="C44" s="1215">
        <v>5.6639999999999997</v>
      </c>
      <c r="D44" s="1215">
        <v>2.827</v>
      </c>
      <c r="E44" s="1215">
        <v>2.827</v>
      </c>
      <c r="F44" s="698">
        <v>5.7619999999999996</v>
      </c>
      <c r="G44" s="698"/>
      <c r="H44" s="1215">
        <v>6.0750000000000002</v>
      </c>
      <c r="I44" s="698"/>
      <c r="J44" s="698"/>
      <c r="K44" s="698">
        <v>3</v>
      </c>
      <c r="L44" s="1216">
        <v>3.161</v>
      </c>
      <c r="M44" s="700"/>
      <c r="N44" s="700"/>
      <c r="O44" s="700"/>
      <c r="P44" s="700">
        <v>3</v>
      </c>
      <c r="Q44" s="1281">
        <v>2.6779999999999999</v>
      </c>
      <c r="R44" s="1282"/>
      <c r="S44" s="1282"/>
      <c r="T44" s="1282"/>
      <c r="U44" s="1282"/>
      <c r="V44" s="1282">
        <v>2</v>
      </c>
      <c r="W44" s="1281">
        <v>2.117</v>
      </c>
      <c r="X44" s="1282"/>
      <c r="Y44" s="1282"/>
      <c r="Z44" s="1282"/>
      <c r="AA44" s="1282"/>
      <c r="AB44" s="1281">
        <v>1.6160000000000001</v>
      </c>
      <c r="AC44" s="1282"/>
      <c r="AD44" s="1282"/>
      <c r="AE44" s="1282"/>
      <c r="AF44" s="1283"/>
      <c r="AG44" s="1283"/>
      <c r="AH44" s="1283"/>
      <c r="AI44" s="1281">
        <v>1.3</v>
      </c>
      <c r="AJ44" s="1463"/>
      <c r="AK44" s="1464"/>
      <c r="AL44" s="1465"/>
      <c r="AM44" s="1323"/>
      <c r="AN44" s="1709"/>
      <c r="AO44" s="1736">
        <v>2.2000000000000002</v>
      </c>
      <c r="AP44" s="715"/>
      <c r="AQ44" s="1617"/>
    </row>
    <row r="45" spans="1:43" x14ac:dyDescent="0.2">
      <c r="A45" s="1109" t="s">
        <v>177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Q45" s="1618"/>
    </row>
    <row r="46" spans="1:43" ht="14.25" x14ac:dyDescent="0.2">
      <c r="A46" s="1107" t="s">
        <v>215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43" ht="14.25" x14ac:dyDescent="0.2">
      <c r="A47" s="1107" t="s">
        <v>220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43" ht="14.25" x14ac:dyDescent="0.2">
      <c r="A48" s="1107" t="s">
        <v>221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43" ht="14.25" x14ac:dyDescent="0.2">
      <c r="A49" s="1108" t="s">
        <v>226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43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43" s="749" customFormat="1" x14ac:dyDescent="0.2"/>
    <row r="53" spans="1:43" x14ac:dyDescent="0.2">
      <c r="A53" s="1569"/>
      <c r="B53" s="749"/>
      <c r="C53" s="749"/>
      <c r="D53" s="749"/>
      <c r="E53" s="750"/>
      <c r="F53" s="749"/>
      <c r="G53" s="749"/>
      <c r="H53" s="749"/>
      <c r="I53" s="749"/>
      <c r="J53" s="749"/>
      <c r="K53" s="749"/>
      <c r="L53" s="749"/>
      <c r="M53" s="749"/>
      <c r="N53" s="750"/>
      <c r="O53" s="749"/>
      <c r="P53" s="749"/>
      <c r="Q53" s="1568"/>
      <c r="R53" s="1568"/>
      <c r="S53" s="1568"/>
      <c r="T53" s="1568"/>
      <c r="U53" s="1568"/>
      <c r="V53" s="1568"/>
      <c r="W53" s="1568"/>
      <c r="X53" s="1568"/>
      <c r="Y53" s="1568"/>
      <c r="Z53" s="1568"/>
      <c r="AA53" s="1568"/>
      <c r="AB53" s="1568"/>
      <c r="AC53" s="1568"/>
      <c r="AD53" s="1568"/>
      <c r="AE53" s="1568"/>
      <c r="AF53" s="1568"/>
      <c r="AG53" s="1568"/>
      <c r="AH53" s="1568"/>
      <c r="AI53" s="1568"/>
      <c r="AJ53" s="1568"/>
      <c r="AK53" s="1568"/>
      <c r="AL53" s="1568"/>
      <c r="AM53" s="1568"/>
      <c r="AN53" s="1568"/>
      <c r="AO53" s="1568"/>
      <c r="AP53" s="1568"/>
      <c r="AQ53" s="1568"/>
    </row>
  </sheetData>
  <phoneticPr fontId="3" type="noConversion"/>
  <pageMargins left="0.23622047244094491" right="0.15748031496062992" top="0.39370078740157483" bottom="0.39370078740157483" header="0.51181102362204722" footer="0.51181102362204722"/>
  <pageSetup paperSize="9" scale="6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8"/>
    <pageSetUpPr fitToPage="1"/>
  </sheetPr>
  <dimension ref="A1:AM51"/>
  <sheetViews>
    <sheetView workbookViewId="0">
      <selection activeCell="AM30" sqref="AM30"/>
    </sheetView>
  </sheetViews>
  <sheetFormatPr baseColWidth="10" defaultRowHeight="12.75" x14ac:dyDescent="0.2"/>
  <cols>
    <col min="1" max="1" width="46.7109375" customWidth="1"/>
    <col min="2" max="2" width="11.42578125" hidden="1" customWidth="1"/>
    <col min="3" max="3" width="13.7109375" hidden="1" customWidth="1"/>
    <col min="4" max="4" width="13.140625" hidden="1" customWidth="1"/>
    <col min="5" max="5" width="11.5703125" hidden="1" customWidth="1"/>
    <col min="6" max="6" width="11.42578125" hidden="1" customWidth="1"/>
    <col min="7" max="7" width="14.7109375" hidden="1" customWidth="1"/>
    <col min="8" max="11" width="18.7109375" hidden="1" customWidth="1"/>
    <col min="12" max="12" width="15.85546875" hidden="1" customWidth="1"/>
    <col min="13" max="16" width="18.7109375" hidden="1" customWidth="1"/>
    <col min="17" max="17" width="15.85546875" hidden="1" customWidth="1"/>
    <col min="18" max="22" width="18.7109375" hidden="1" customWidth="1"/>
    <col min="23" max="23" width="15.85546875" hidden="1" customWidth="1"/>
    <col min="24" max="27" width="18.7109375" hidden="1" customWidth="1"/>
    <col min="28" max="28" width="15.85546875" hidden="1" customWidth="1"/>
    <col min="29" max="30" width="18.7109375" hidden="1" customWidth="1"/>
    <col min="31" max="33" width="15.85546875" hidden="1" customWidth="1"/>
    <col min="34" max="34" width="15.85546875" customWidth="1"/>
    <col min="35" max="35" width="15.85546875" hidden="1" customWidth="1"/>
    <col min="36" max="37" width="15.85546875" customWidth="1"/>
  </cols>
  <sheetData>
    <row r="1" spans="1:39" ht="78.75" customHeight="1" x14ac:dyDescent="0.2"/>
    <row r="2" spans="1:39" ht="20.25" customHeight="1" x14ac:dyDescent="0.3">
      <c r="A2" s="13" t="s">
        <v>0</v>
      </c>
      <c r="B2" s="14" t="s">
        <v>28</v>
      </c>
      <c r="C2" s="14" t="s">
        <v>75</v>
      </c>
      <c r="D2" s="14" t="s">
        <v>76</v>
      </c>
      <c r="E2" s="14" t="s">
        <v>77</v>
      </c>
      <c r="F2" s="14" t="s">
        <v>78</v>
      </c>
      <c r="G2" s="14" t="s">
        <v>80</v>
      </c>
      <c r="H2" s="14" t="s">
        <v>80</v>
      </c>
      <c r="I2" s="14" t="s">
        <v>81</v>
      </c>
      <c r="J2" s="14" t="s">
        <v>81</v>
      </c>
      <c r="K2" s="14" t="s">
        <v>81</v>
      </c>
      <c r="L2" s="276" t="s">
        <v>85</v>
      </c>
      <c r="M2" s="277" t="s">
        <v>86</v>
      </c>
      <c r="N2" s="277" t="s">
        <v>86</v>
      </c>
      <c r="O2" s="277" t="s">
        <v>49</v>
      </c>
      <c r="P2" s="277" t="s">
        <v>49</v>
      </c>
      <c r="Q2" s="277" t="s">
        <v>89</v>
      </c>
      <c r="R2" s="277" t="s">
        <v>94</v>
      </c>
      <c r="S2" s="277" t="s">
        <v>92</v>
      </c>
      <c r="T2" s="277" t="s">
        <v>92</v>
      </c>
      <c r="U2" s="277" t="s">
        <v>94</v>
      </c>
      <c r="V2" s="277" t="s">
        <v>96</v>
      </c>
      <c r="W2" s="277" t="s">
        <v>96</v>
      </c>
      <c r="X2" s="277" t="s">
        <v>98</v>
      </c>
      <c r="Y2" s="277" t="s">
        <v>51</v>
      </c>
      <c r="Z2" s="277" t="s">
        <v>51</v>
      </c>
      <c r="AA2" s="277" t="s">
        <v>102</v>
      </c>
      <c r="AB2" s="278" t="s">
        <v>104</v>
      </c>
      <c r="AC2" s="277" t="s">
        <v>52</v>
      </c>
      <c r="AD2" s="277" t="s">
        <v>106</v>
      </c>
      <c r="AE2" s="278" t="s">
        <v>106</v>
      </c>
      <c r="AF2" s="278" t="s">
        <v>106</v>
      </c>
      <c r="AG2" s="278" t="s">
        <v>106</v>
      </c>
      <c r="AH2" s="278" t="s">
        <v>173</v>
      </c>
      <c r="AI2" s="278" t="s">
        <v>205</v>
      </c>
      <c r="AJ2" s="278" t="s">
        <v>205</v>
      </c>
      <c r="AK2" s="279" t="s">
        <v>53</v>
      </c>
    </row>
    <row r="3" spans="1:39" ht="24" customHeight="1" x14ac:dyDescent="0.2">
      <c r="A3" s="15"/>
      <c r="B3" s="15"/>
      <c r="C3" s="15"/>
      <c r="D3" s="15"/>
      <c r="E3" s="15"/>
      <c r="F3" s="15"/>
      <c r="G3" s="15" t="s">
        <v>79</v>
      </c>
      <c r="H3" s="15"/>
      <c r="I3" s="15" t="s">
        <v>82</v>
      </c>
      <c r="J3" s="15" t="s">
        <v>83</v>
      </c>
      <c r="K3" s="15" t="s">
        <v>84</v>
      </c>
      <c r="L3" s="280"/>
      <c r="M3" s="281" t="s">
        <v>69</v>
      </c>
      <c r="N3" s="281" t="s">
        <v>71</v>
      </c>
      <c r="O3" s="281" t="s">
        <v>87</v>
      </c>
      <c r="P3" s="281" t="s">
        <v>88</v>
      </c>
      <c r="Q3" s="281"/>
      <c r="R3" s="282" t="s">
        <v>90</v>
      </c>
      <c r="S3" s="282" t="s">
        <v>91</v>
      </c>
      <c r="T3" s="282" t="s">
        <v>93</v>
      </c>
      <c r="U3" s="282" t="s">
        <v>95</v>
      </c>
      <c r="V3" s="282" t="s">
        <v>97</v>
      </c>
      <c r="W3" s="281"/>
      <c r="X3" s="282" t="s">
        <v>99</v>
      </c>
      <c r="Y3" s="282" t="s">
        <v>100</v>
      </c>
      <c r="Z3" s="282" t="s">
        <v>101</v>
      </c>
      <c r="AA3" s="282" t="s">
        <v>103</v>
      </c>
      <c r="AB3" s="673" t="s">
        <v>153</v>
      </c>
      <c r="AC3" s="282" t="s">
        <v>105</v>
      </c>
      <c r="AD3" s="282" t="s">
        <v>107</v>
      </c>
      <c r="AE3" s="673" t="s">
        <v>156</v>
      </c>
      <c r="AF3" s="673" t="s">
        <v>190</v>
      </c>
      <c r="AG3" s="673" t="s">
        <v>198</v>
      </c>
      <c r="AH3" s="673" t="s">
        <v>207</v>
      </c>
      <c r="AI3" s="673" t="s">
        <v>198</v>
      </c>
      <c r="AJ3" s="673" t="s">
        <v>207</v>
      </c>
      <c r="AK3" s="283" t="s">
        <v>204</v>
      </c>
    </row>
    <row r="4" spans="1:39" s="4" customFormat="1" ht="20.25" customHeight="1" x14ac:dyDescent="0.2">
      <c r="A4" s="692"/>
      <c r="B4" s="692"/>
      <c r="C4" s="692"/>
      <c r="D4" s="692"/>
      <c r="E4" s="692"/>
      <c r="F4" s="692"/>
      <c r="G4" s="692"/>
      <c r="H4" s="692"/>
      <c r="I4" s="692"/>
      <c r="J4" s="692"/>
      <c r="K4" s="692"/>
      <c r="L4" s="693"/>
      <c r="M4" s="694"/>
      <c r="N4" s="694"/>
      <c r="O4" s="694"/>
      <c r="P4" s="694"/>
      <c r="Q4" s="694"/>
      <c r="R4" s="695"/>
      <c r="S4" s="695"/>
      <c r="T4" s="695"/>
      <c r="U4" s="695"/>
      <c r="V4" s="695"/>
      <c r="W4" s="694"/>
      <c r="X4" s="695"/>
      <c r="Y4" s="695"/>
      <c r="Z4" s="695"/>
      <c r="AA4" s="695"/>
      <c r="AB4" s="696"/>
      <c r="AC4" s="695"/>
      <c r="AD4" s="695"/>
      <c r="AE4" s="696"/>
      <c r="AF4" s="798"/>
      <c r="AG4" s="798"/>
      <c r="AH4" s="798"/>
      <c r="AI4" s="798"/>
      <c r="AJ4" s="798"/>
      <c r="AK4" s="697"/>
    </row>
    <row r="5" spans="1:39" s="4" customFormat="1" ht="20.25" customHeight="1" x14ac:dyDescent="0.2">
      <c r="A5" s="692"/>
      <c r="B5" s="692"/>
      <c r="C5" s="692"/>
      <c r="D5" s="692"/>
      <c r="E5" s="692"/>
      <c r="F5" s="692"/>
      <c r="G5" s="692"/>
      <c r="H5" s="692"/>
      <c r="I5" s="692"/>
      <c r="J5" s="692"/>
      <c r="K5" s="692"/>
      <c r="L5" s="693"/>
      <c r="M5" s="694"/>
      <c r="N5" s="694"/>
      <c r="O5" s="694"/>
      <c r="P5" s="694"/>
      <c r="Q5" s="694"/>
      <c r="R5" s="695"/>
      <c r="S5" s="695"/>
      <c r="T5" s="695"/>
      <c r="U5" s="695"/>
      <c r="V5" s="695"/>
      <c r="W5" s="694"/>
      <c r="X5" s="695"/>
      <c r="Y5" s="695"/>
      <c r="Z5" s="695"/>
      <c r="AA5" s="695"/>
      <c r="AB5" s="696"/>
      <c r="AC5" s="695"/>
      <c r="AD5" s="695"/>
      <c r="AE5" s="696"/>
      <c r="AF5" s="798"/>
      <c r="AG5" s="798"/>
      <c r="AH5" s="798"/>
      <c r="AI5" s="798"/>
      <c r="AJ5" s="798"/>
      <c r="AK5" s="697"/>
    </row>
    <row r="6" spans="1:39" ht="18.75" customHeight="1" x14ac:dyDescent="0.25">
      <c r="A6" s="61" t="s">
        <v>1</v>
      </c>
      <c r="B6" s="30"/>
      <c r="C6" s="62"/>
      <c r="D6" s="62"/>
      <c r="E6" s="62"/>
      <c r="F6" s="62"/>
      <c r="G6" s="62"/>
      <c r="H6" s="62"/>
      <c r="I6" s="62"/>
      <c r="J6" s="62"/>
      <c r="K6" s="62"/>
      <c r="L6" s="284" t="s">
        <v>54</v>
      </c>
      <c r="M6" s="285"/>
      <c r="N6" s="285"/>
      <c r="O6" s="285"/>
      <c r="P6" s="285"/>
      <c r="Q6" s="286" t="s">
        <v>54</v>
      </c>
      <c r="R6" s="285"/>
      <c r="S6" s="285"/>
      <c r="T6" s="285"/>
      <c r="U6" s="285"/>
      <c r="V6" s="285"/>
      <c r="W6" s="286" t="s">
        <v>54</v>
      </c>
      <c r="X6" s="285"/>
      <c r="Y6" s="285"/>
      <c r="Z6" s="285"/>
      <c r="AA6" s="285"/>
      <c r="AB6" s="286" t="s">
        <v>55</v>
      </c>
      <c r="AC6" s="285"/>
      <c r="AD6" s="285"/>
      <c r="AE6" s="286" t="s">
        <v>55</v>
      </c>
      <c r="AF6" s="286" t="s">
        <v>55</v>
      </c>
      <c r="AG6" s="286" t="s">
        <v>55</v>
      </c>
      <c r="AH6" s="890"/>
      <c r="AI6" s="890"/>
      <c r="AJ6" s="890"/>
      <c r="AK6" s="287"/>
    </row>
    <row r="7" spans="1:39" s="4" customFormat="1" ht="18" customHeight="1" x14ac:dyDescent="0.25">
      <c r="A7" s="63"/>
      <c r="B7" s="64"/>
      <c r="C7" s="65"/>
      <c r="D7" s="65"/>
      <c r="E7" s="65"/>
      <c r="F7" s="65"/>
      <c r="G7" s="65"/>
      <c r="H7" s="65"/>
      <c r="I7" s="65"/>
      <c r="J7" s="65"/>
      <c r="K7" s="65"/>
      <c r="L7" s="288"/>
      <c r="M7" s="289"/>
      <c r="N7" s="289"/>
      <c r="O7" s="289"/>
      <c r="P7" s="289"/>
      <c r="Q7" s="290"/>
      <c r="R7" s="289"/>
      <c r="S7" s="289"/>
      <c r="T7" s="289"/>
      <c r="U7" s="289"/>
      <c r="V7" s="289"/>
      <c r="W7" s="290"/>
      <c r="X7" s="289"/>
      <c r="Y7" s="289"/>
      <c r="Z7" s="289"/>
      <c r="AA7" s="289"/>
      <c r="AB7" s="290"/>
      <c r="AC7" s="289"/>
      <c r="AD7" s="289"/>
      <c r="AE7" s="290"/>
      <c r="AF7" s="891"/>
      <c r="AG7" s="891"/>
      <c r="AH7" s="973" t="s">
        <v>210</v>
      </c>
      <c r="AI7" s="911"/>
      <c r="AJ7" s="981" t="s">
        <v>210</v>
      </c>
      <c r="AK7" s="291"/>
    </row>
    <row r="8" spans="1:39" ht="15" x14ac:dyDescent="0.25">
      <c r="A8" s="66" t="s">
        <v>57</v>
      </c>
      <c r="B8" s="22">
        <v>237</v>
      </c>
      <c r="C8" s="22">
        <v>160</v>
      </c>
      <c r="D8" s="22">
        <v>97</v>
      </c>
      <c r="E8" s="22">
        <v>112</v>
      </c>
      <c r="F8" s="22">
        <v>245.738</v>
      </c>
      <c r="G8" s="22">
        <v>243.77799999999999</v>
      </c>
      <c r="H8" s="22">
        <v>245.738</v>
      </c>
      <c r="I8" s="22">
        <v>189</v>
      </c>
      <c r="J8" s="22">
        <v>185.02500000000001</v>
      </c>
      <c r="K8" s="22">
        <v>184</v>
      </c>
      <c r="L8" s="292">
        <v>183</v>
      </c>
      <c r="M8" s="293">
        <v>135</v>
      </c>
      <c r="N8" s="293">
        <v>134</v>
      </c>
      <c r="O8" s="293">
        <v>134</v>
      </c>
      <c r="P8" s="293">
        <v>133</v>
      </c>
      <c r="Q8" s="293">
        <v>133</v>
      </c>
      <c r="R8" s="293">
        <v>132</v>
      </c>
      <c r="S8" s="293">
        <v>120</v>
      </c>
      <c r="T8" s="293">
        <v>120</v>
      </c>
      <c r="U8" s="293">
        <v>121</v>
      </c>
      <c r="V8" s="293">
        <v>120</v>
      </c>
      <c r="W8" s="293">
        <v>119</v>
      </c>
      <c r="X8" s="293">
        <v>122</v>
      </c>
      <c r="Y8" s="293">
        <v>138</v>
      </c>
      <c r="Z8" s="293">
        <v>138</v>
      </c>
      <c r="AA8" s="293">
        <v>138</v>
      </c>
      <c r="AB8" s="293">
        <v>138</v>
      </c>
      <c r="AC8" s="293">
        <v>160</v>
      </c>
      <c r="AD8" s="293">
        <v>153</v>
      </c>
      <c r="AE8" s="293">
        <v>155</v>
      </c>
      <c r="AF8" s="892">
        <v>158</v>
      </c>
      <c r="AG8" s="892">
        <f>'PO '!AG8</f>
        <v>160</v>
      </c>
      <c r="AH8" s="808">
        <f>'PO '!AH8</f>
        <v>176</v>
      </c>
      <c r="AI8" s="912"/>
      <c r="AJ8" s="912">
        <v>180</v>
      </c>
      <c r="AK8" s="743">
        <f>(AJ8-AH8)/AH8</f>
        <v>2.2727272727272728E-2</v>
      </c>
    </row>
    <row r="9" spans="1:39" ht="15" x14ac:dyDescent="0.25">
      <c r="A9" s="66" t="s">
        <v>58</v>
      </c>
      <c r="B9" s="20">
        <f t="shared" ref="B9:Q9" si="0">IF(B8="","",(B10/B8)*10)</f>
        <v>41.603375527426167</v>
      </c>
      <c r="C9" s="20">
        <f t="shared" si="0"/>
        <v>36.375</v>
      </c>
      <c r="D9" s="20">
        <f t="shared" si="0"/>
        <v>47.010309278350519</v>
      </c>
      <c r="E9" s="20">
        <f t="shared" si="0"/>
        <v>48.392857142857146</v>
      </c>
      <c r="F9" s="20">
        <f t="shared" si="0"/>
        <v>44.281348428000555</v>
      </c>
      <c r="G9" s="20">
        <f t="shared" si="0"/>
        <v>44.47415271271403</v>
      </c>
      <c r="H9" s="20">
        <f t="shared" si="0"/>
        <v>44.281348428000555</v>
      </c>
      <c r="I9" s="20">
        <f t="shared" si="0"/>
        <v>35.710052910052909</v>
      </c>
      <c r="J9" s="20">
        <f t="shared" si="0"/>
        <v>35.763004999324416</v>
      </c>
      <c r="K9" s="20">
        <f t="shared" si="0"/>
        <v>35.799999999999997</v>
      </c>
      <c r="L9" s="295">
        <f t="shared" si="0"/>
        <v>36.200000000000003</v>
      </c>
      <c r="M9" s="296">
        <f t="shared" si="0"/>
        <v>44</v>
      </c>
      <c r="N9" s="296">
        <f t="shared" si="0"/>
        <v>43.000000000000007</v>
      </c>
      <c r="O9" s="296">
        <f t="shared" si="0"/>
        <v>42.089552238805972</v>
      </c>
      <c r="P9" s="296">
        <f t="shared" si="0"/>
        <v>41.578947368421055</v>
      </c>
      <c r="Q9" s="296">
        <f t="shared" si="0"/>
        <v>41.578947368421055</v>
      </c>
      <c r="R9" s="296">
        <f t="shared" ref="R9:AD9" si="1">IF(R8="","",(R10/R8))</f>
        <v>4.3999999999999995</v>
      </c>
      <c r="S9" s="296">
        <f t="shared" si="1"/>
        <v>4.375</v>
      </c>
      <c r="T9" s="296">
        <f t="shared" si="1"/>
        <v>4.1416666666666666</v>
      </c>
      <c r="U9" s="296">
        <f t="shared" si="1"/>
        <v>4.0578512396694215</v>
      </c>
      <c r="V9" s="296">
        <f t="shared" si="1"/>
        <v>4.0916666666666668</v>
      </c>
      <c r="W9" s="296">
        <f>IF(W8="","",(W10/W8)*10)</f>
        <v>40.840336134453779</v>
      </c>
      <c r="X9" s="296">
        <f t="shared" si="1"/>
        <v>4.2299999999999995</v>
      </c>
      <c r="Y9" s="296">
        <f t="shared" si="1"/>
        <v>3.7753623188405796</v>
      </c>
      <c r="Z9" s="296">
        <f t="shared" si="1"/>
        <v>3.7971014492753623</v>
      </c>
      <c r="AA9" s="296">
        <f t="shared" si="1"/>
        <v>3.7826086956521738</v>
      </c>
      <c r="AB9" s="296">
        <f>IF(AB8="","",(AB10/AB8)*10)</f>
        <v>37.826086956521735</v>
      </c>
      <c r="AC9" s="296">
        <f t="shared" si="1"/>
        <v>4.01</v>
      </c>
      <c r="AD9" s="296">
        <f t="shared" si="1"/>
        <v>3.83</v>
      </c>
      <c r="AE9" s="296">
        <f>IF(AE8="","",(AE10/AE8)*10)</f>
        <v>39.096774193548384</v>
      </c>
      <c r="AF9" s="893">
        <f>IF(AF8="","",(AF10/AF8)*10)</f>
        <v>38.797468354430379</v>
      </c>
      <c r="AG9" s="893">
        <f>'PO '!AG9</f>
        <v>38.4375</v>
      </c>
      <c r="AH9" s="809">
        <f>'PO '!AH9</f>
        <v>38.68</v>
      </c>
      <c r="AI9" s="913"/>
      <c r="AJ9" s="913">
        <v>31</v>
      </c>
      <c r="AK9" s="743">
        <f>(AJ9-AH9)/AH9</f>
        <v>-0.19855222337125128</v>
      </c>
      <c r="AM9" s="963"/>
    </row>
    <row r="10" spans="1:39" ht="15" x14ac:dyDescent="0.25">
      <c r="A10" s="66" t="s">
        <v>56</v>
      </c>
      <c r="B10" s="23">
        <v>986</v>
      </c>
      <c r="C10" s="23">
        <v>582</v>
      </c>
      <c r="D10" s="23">
        <v>456</v>
      </c>
      <c r="E10" s="23">
        <v>542</v>
      </c>
      <c r="F10" s="23">
        <v>1088.1610000000001</v>
      </c>
      <c r="G10" s="23">
        <v>1084.182</v>
      </c>
      <c r="H10" s="23">
        <v>1088.1610000000001</v>
      </c>
      <c r="I10" s="23">
        <v>674.92</v>
      </c>
      <c r="J10" s="23">
        <v>661.70500000000004</v>
      </c>
      <c r="K10" s="23">
        <v>658.72</v>
      </c>
      <c r="L10" s="297">
        <v>662.46</v>
      </c>
      <c r="M10" s="298">
        <v>594</v>
      </c>
      <c r="N10" s="298">
        <v>576.20000000000005</v>
      </c>
      <c r="O10" s="298">
        <v>564</v>
      </c>
      <c r="P10" s="298">
        <v>553</v>
      </c>
      <c r="Q10" s="298">
        <v>553</v>
      </c>
      <c r="R10" s="298">
        <v>580.79999999999995</v>
      </c>
      <c r="S10" s="298">
        <v>525</v>
      </c>
      <c r="T10" s="298">
        <v>497</v>
      </c>
      <c r="U10" s="298">
        <v>491</v>
      </c>
      <c r="V10" s="298">
        <v>491</v>
      </c>
      <c r="W10" s="298">
        <v>486</v>
      </c>
      <c r="X10" s="298">
        <v>516.05999999999995</v>
      </c>
      <c r="Y10" s="298">
        <v>521</v>
      </c>
      <c r="Z10" s="298">
        <v>524</v>
      </c>
      <c r="AA10" s="298">
        <v>522</v>
      </c>
      <c r="AB10" s="298">
        <v>522</v>
      </c>
      <c r="AC10" s="298">
        <v>641.6</v>
      </c>
      <c r="AD10" s="298">
        <v>585.99</v>
      </c>
      <c r="AE10" s="298">
        <v>606</v>
      </c>
      <c r="AF10" s="894">
        <v>613</v>
      </c>
      <c r="AG10" s="894">
        <f>'PO '!AG10</f>
        <v>615</v>
      </c>
      <c r="AH10" s="808">
        <f>'PO '!AH10</f>
        <v>680.76800000000003</v>
      </c>
      <c r="AI10" s="914"/>
      <c r="AJ10" s="914">
        <f>AJ8*AJ9/10</f>
        <v>558</v>
      </c>
      <c r="AK10" s="744">
        <f>(AJ10-AH10)/AH10</f>
        <v>-0.18033750117514341</v>
      </c>
    </row>
    <row r="11" spans="1:39" ht="15" x14ac:dyDescent="0.25">
      <c r="A11" s="66"/>
      <c r="B11" s="23"/>
      <c r="C11" s="67"/>
      <c r="D11" s="67"/>
      <c r="E11" s="67"/>
      <c r="F11" s="67"/>
      <c r="G11" s="67"/>
      <c r="H11" s="67"/>
      <c r="I11" s="67"/>
      <c r="J11" s="67"/>
      <c r="K11" s="67"/>
      <c r="L11" s="299"/>
      <c r="M11" s="300"/>
      <c r="N11" s="300"/>
      <c r="O11" s="300"/>
      <c r="P11" s="300"/>
      <c r="Q11" s="300"/>
      <c r="R11" s="300"/>
      <c r="S11" s="300"/>
      <c r="T11" s="300"/>
      <c r="U11" s="300"/>
      <c r="V11" s="300"/>
      <c r="W11" s="300"/>
      <c r="X11" s="300"/>
      <c r="Y11" s="300"/>
      <c r="Z11" s="300"/>
      <c r="AA11" s="300"/>
      <c r="AB11" s="300"/>
      <c r="AC11" s="300"/>
      <c r="AD11" s="300"/>
      <c r="AE11" s="300"/>
      <c r="AF11" s="895"/>
      <c r="AG11" s="895"/>
      <c r="AH11" s="810"/>
      <c r="AI11" s="915"/>
      <c r="AJ11" s="915"/>
      <c r="AK11" s="745"/>
    </row>
    <row r="12" spans="1:39" ht="14.25" x14ac:dyDescent="0.2">
      <c r="A12" s="909" t="s">
        <v>60</v>
      </c>
      <c r="B12" s="42">
        <f>IF(B21="","",B10-B21)</f>
        <v>75</v>
      </c>
      <c r="C12" s="42">
        <f t="shared" ref="C12:AE12" si="2">IF(C21="","",C10-C21)</f>
        <v>109</v>
      </c>
      <c r="D12" s="42">
        <f t="shared" si="2"/>
        <v>99</v>
      </c>
      <c r="E12" s="42">
        <f t="shared" si="2"/>
        <v>99.07</v>
      </c>
      <c r="F12" s="42">
        <f t="shared" si="2"/>
        <v>200.99400000000003</v>
      </c>
      <c r="G12" s="42">
        <f t="shared" si="2"/>
        <v>184.18200000000002</v>
      </c>
      <c r="H12" s="42">
        <f t="shared" si="2"/>
        <v>200.99400000000003</v>
      </c>
      <c r="I12" s="42">
        <f t="shared" si="2"/>
        <v>136.51</v>
      </c>
      <c r="J12" s="42">
        <f t="shared" si="2"/>
        <v>126.05500000000006</v>
      </c>
      <c r="K12" s="42">
        <f t="shared" si="2"/>
        <v>127.72000000000003</v>
      </c>
      <c r="L12" s="979">
        <f t="shared" si="2"/>
        <v>141.46000000000004</v>
      </c>
      <c r="M12" s="806">
        <f t="shared" si="2"/>
        <v>122</v>
      </c>
      <c r="N12" s="806">
        <f t="shared" si="2"/>
        <v>121.00000000000006</v>
      </c>
      <c r="O12" s="806">
        <f t="shared" si="2"/>
        <v>114</v>
      </c>
      <c r="P12" s="806">
        <f t="shared" si="2"/>
        <v>111</v>
      </c>
      <c r="Q12" s="806">
        <f t="shared" si="2"/>
        <v>116</v>
      </c>
      <c r="R12" s="806">
        <f t="shared" si="2"/>
        <v>116.15999999999997</v>
      </c>
      <c r="S12" s="806">
        <f t="shared" si="2"/>
        <v>102</v>
      </c>
      <c r="T12" s="806">
        <f t="shared" si="2"/>
        <v>108</v>
      </c>
      <c r="U12" s="806">
        <f t="shared" si="2"/>
        <v>105</v>
      </c>
      <c r="V12" s="806">
        <f t="shared" si="2"/>
        <v>95</v>
      </c>
      <c r="W12" s="806">
        <f t="shared" si="2"/>
        <v>90</v>
      </c>
      <c r="X12" s="806" t="str">
        <f t="shared" si="2"/>
        <v/>
      </c>
      <c r="Y12" s="806">
        <f t="shared" si="2"/>
        <v>107</v>
      </c>
      <c r="Z12" s="806">
        <f t="shared" si="2"/>
        <v>113</v>
      </c>
      <c r="AA12" s="806">
        <f t="shared" si="2"/>
        <v>121</v>
      </c>
      <c r="AB12" s="806">
        <f t="shared" si="2"/>
        <v>134</v>
      </c>
      <c r="AC12" s="806">
        <f t="shared" si="2"/>
        <v>128.60000000000002</v>
      </c>
      <c r="AD12" s="806">
        <f t="shared" si="2"/>
        <v>117.19799999999998</v>
      </c>
      <c r="AE12" s="806">
        <f t="shared" si="2"/>
        <v>130</v>
      </c>
      <c r="AF12" s="904">
        <f>AF10-AF21</f>
        <v>131</v>
      </c>
      <c r="AG12" s="904">
        <f>'PO '!AG12</f>
        <v>115</v>
      </c>
      <c r="AH12" s="811"/>
      <c r="AI12" s="916"/>
      <c r="AJ12" s="916"/>
      <c r="AK12" s="294" t="e">
        <f>(AJ12-AH12)/AH12</f>
        <v>#DIV/0!</v>
      </c>
    </row>
    <row r="13" spans="1:39" ht="14.25" x14ac:dyDescent="0.2">
      <c r="A13" s="978" t="s">
        <v>61</v>
      </c>
      <c r="B13" s="24">
        <f>(B12/B10)</f>
        <v>7.6064908722109539E-2</v>
      </c>
      <c r="C13" s="24">
        <f t="shared" ref="C13:AE13" si="3">(C12/C10)</f>
        <v>0.1872852233676976</v>
      </c>
      <c r="D13" s="24">
        <f t="shared" si="3"/>
        <v>0.21710526315789475</v>
      </c>
      <c r="E13" s="24">
        <f t="shared" si="3"/>
        <v>0.1827859778597786</v>
      </c>
      <c r="F13" s="24">
        <f t="shared" si="3"/>
        <v>0.18470979937711424</v>
      </c>
      <c r="G13" s="24">
        <f t="shared" si="3"/>
        <v>0.16988107162819527</v>
      </c>
      <c r="H13" s="59">
        <f t="shared" si="3"/>
        <v>0.18470979937711424</v>
      </c>
      <c r="I13" s="59">
        <f t="shared" si="3"/>
        <v>0.20226100871214367</v>
      </c>
      <c r="J13" s="59">
        <f t="shared" si="3"/>
        <v>0.19050029847137329</v>
      </c>
      <c r="K13" s="59">
        <f t="shared" si="3"/>
        <v>0.19389118290017007</v>
      </c>
      <c r="L13" s="980">
        <f t="shared" si="3"/>
        <v>0.21353742112731339</v>
      </c>
      <c r="M13" s="807">
        <f t="shared" si="3"/>
        <v>0.2053872053872054</v>
      </c>
      <c r="N13" s="807">
        <f t="shared" si="3"/>
        <v>0.20999652898299209</v>
      </c>
      <c r="O13" s="807">
        <f t="shared" si="3"/>
        <v>0.20212765957446807</v>
      </c>
      <c r="P13" s="807">
        <f t="shared" si="3"/>
        <v>0.2007233273056058</v>
      </c>
      <c r="Q13" s="807">
        <f t="shared" si="3"/>
        <v>0.20976491862567812</v>
      </c>
      <c r="R13" s="807">
        <f t="shared" si="3"/>
        <v>0.19999999999999996</v>
      </c>
      <c r="S13" s="807">
        <f t="shared" si="3"/>
        <v>0.19428571428571428</v>
      </c>
      <c r="T13" s="807">
        <f t="shared" si="3"/>
        <v>0.21730382293762576</v>
      </c>
      <c r="U13" s="807">
        <f t="shared" si="3"/>
        <v>0.21384928716904278</v>
      </c>
      <c r="V13" s="807">
        <f t="shared" si="3"/>
        <v>0.19348268839103869</v>
      </c>
      <c r="W13" s="807">
        <f t="shared" si="3"/>
        <v>0.18518518518518517</v>
      </c>
      <c r="X13" s="807" t="e">
        <f t="shared" si="3"/>
        <v>#VALUE!</v>
      </c>
      <c r="Y13" s="807">
        <f t="shared" si="3"/>
        <v>0.20537428023032631</v>
      </c>
      <c r="Z13" s="807">
        <f t="shared" si="3"/>
        <v>0.21564885496183206</v>
      </c>
      <c r="AA13" s="807">
        <f t="shared" si="3"/>
        <v>0.23180076628352492</v>
      </c>
      <c r="AB13" s="807">
        <f t="shared" si="3"/>
        <v>0.25670498084291188</v>
      </c>
      <c r="AC13" s="807">
        <f t="shared" si="3"/>
        <v>0.20043640897755613</v>
      </c>
      <c r="AD13" s="807">
        <f t="shared" si="3"/>
        <v>0.19999999999999996</v>
      </c>
      <c r="AE13" s="807">
        <f t="shared" si="3"/>
        <v>0.21452145214521451</v>
      </c>
      <c r="AF13" s="905">
        <f>AF12/AF10</f>
        <v>0.21370309951060359</v>
      </c>
      <c r="AG13" s="905">
        <f>'PO '!AG13</f>
        <v>0.18699186991869918</v>
      </c>
      <c r="AH13" s="812"/>
      <c r="AI13" s="917"/>
      <c r="AJ13" s="917"/>
      <c r="AK13" s="294" t="e">
        <f>(AJ13-AH13)/AH13</f>
        <v>#DIV/0!</v>
      </c>
    </row>
    <row r="14" spans="1:39" ht="15" x14ac:dyDescent="0.25">
      <c r="A14" s="69"/>
      <c r="B14" s="5"/>
      <c r="C14" s="5"/>
      <c r="D14" s="5"/>
      <c r="E14" s="5"/>
      <c r="F14" s="5"/>
      <c r="G14" s="5"/>
      <c r="H14" s="5"/>
      <c r="I14" s="5"/>
      <c r="J14" s="5"/>
      <c r="K14" s="5"/>
      <c r="L14" s="305"/>
      <c r="M14" s="306"/>
      <c r="N14" s="306"/>
      <c r="O14" s="306"/>
      <c r="P14" s="306"/>
      <c r="Q14" s="306"/>
      <c r="R14" s="306"/>
      <c r="S14" s="306"/>
      <c r="T14" s="306"/>
      <c r="U14" s="306"/>
      <c r="V14" s="306"/>
      <c r="W14" s="306"/>
      <c r="X14" s="307"/>
      <c r="Y14" s="306"/>
      <c r="Z14" s="306"/>
      <c r="AA14" s="306"/>
      <c r="AB14" s="306"/>
      <c r="AC14" s="306"/>
      <c r="AD14" s="306"/>
      <c r="AE14" s="306"/>
      <c r="AF14" s="898"/>
      <c r="AG14" s="898"/>
      <c r="AH14" s="813"/>
      <c r="AI14" s="918"/>
      <c r="AJ14" s="918"/>
      <c r="AK14" s="743"/>
    </row>
    <row r="15" spans="1:39" ht="15" x14ac:dyDescent="0.25">
      <c r="A15" s="909" t="s">
        <v>199</v>
      </c>
      <c r="B15" s="1"/>
      <c r="C15" s="7"/>
      <c r="D15" s="7"/>
      <c r="E15" s="7"/>
      <c r="F15" s="7"/>
      <c r="G15" s="7"/>
      <c r="H15" s="7"/>
      <c r="I15" s="7"/>
      <c r="J15" s="7"/>
      <c r="K15" s="7"/>
      <c r="L15" s="308"/>
      <c r="M15" s="309"/>
      <c r="N15" s="309"/>
      <c r="O15" s="309"/>
      <c r="P15" s="309"/>
      <c r="Q15" s="309"/>
      <c r="R15" s="309"/>
      <c r="S15" s="309"/>
      <c r="T15" s="309"/>
      <c r="U15" s="309"/>
      <c r="V15" s="309"/>
      <c r="W15" s="309"/>
      <c r="X15" s="310"/>
      <c r="Y15" s="309"/>
      <c r="Z15" s="309"/>
      <c r="AA15" s="309"/>
      <c r="AB15" s="806">
        <v>188</v>
      </c>
      <c r="AC15" s="806"/>
      <c r="AD15" s="806"/>
      <c r="AE15" s="806">
        <v>286</v>
      </c>
      <c r="AF15" s="904">
        <v>417</v>
      </c>
      <c r="AG15" s="904"/>
      <c r="AH15" s="811"/>
      <c r="AI15" s="916"/>
      <c r="AJ15" s="916"/>
      <c r="AK15" s="743"/>
    </row>
    <row r="16" spans="1:39" ht="15" x14ac:dyDescent="0.25">
      <c r="A16" s="910" t="s">
        <v>191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311"/>
      <c r="M16" s="312"/>
      <c r="N16" s="312"/>
      <c r="O16" s="312"/>
      <c r="P16" s="312">
        <v>420</v>
      </c>
      <c r="Q16" s="312"/>
      <c r="R16" s="312"/>
      <c r="S16" s="312"/>
      <c r="T16" s="312">
        <v>305</v>
      </c>
      <c r="U16" s="312">
        <v>339</v>
      </c>
      <c r="V16" s="312">
        <v>373</v>
      </c>
      <c r="W16" s="312"/>
      <c r="X16" s="313"/>
      <c r="Y16" s="312"/>
      <c r="Z16" s="312">
        <v>300</v>
      </c>
      <c r="AA16" s="312"/>
      <c r="AB16" s="807">
        <v>0.36015325670498083</v>
      </c>
      <c r="AC16" s="807"/>
      <c r="AD16" s="807"/>
      <c r="AE16" s="807">
        <v>0.47194719471947194</v>
      </c>
      <c r="AF16" s="905">
        <f>AF15/AF10</f>
        <v>0.68026101141924955</v>
      </c>
      <c r="AG16" s="905"/>
      <c r="AH16" s="812"/>
      <c r="AI16" s="917"/>
      <c r="AJ16" s="917"/>
      <c r="AK16" s="743"/>
    </row>
    <row r="17" spans="1:37" ht="15" x14ac:dyDescent="0.25">
      <c r="A17" s="910" t="s">
        <v>29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14"/>
      <c r="M17" s="315"/>
      <c r="N17" s="315"/>
      <c r="O17" s="315"/>
      <c r="P17" s="315">
        <v>0.759493670886076</v>
      </c>
      <c r="Q17" s="315"/>
      <c r="R17" s="315"/>
      <c r="S17" s="315"/>
      <c r="T17" s="315">
        <v>0.61368209255533201</v>
      </c>
      <c r="U17" s="315">
        <v>0.69042769857433806</v>
      </c>
      <c r="V17" s="315">
        <v>0.75967413441955189</v>
      </c>
      <c r="W17" s="315"/>
      <c r="X17" s="316"/>
      <c r="Y17" s="315"/>
      <c r="Z17" s="315">
        <v>0.5725190839694656</v>
      </c>
      <c r="AA17" s="315"/>
      <c r="AB17" s="807">
        <v>0.4845360824742268</v>
      </c>
      <c r="AC17" s="807"/>
      <c r="AD17" s="807"/>
      <c r="AE17" s="807">
        <v>0.60084033613445376</v>
      </c>
      <c r="AF17" s="905">
        <f>AF15/AF21</f>
        <v>0.86514522821576767</v>
      </c>
      <c r="AG17" s="905"/>
      <c r="AH17" s="812"/>
      <c r="AI17" s="917"/>
      <c r="AJ17" s="917"/>
      <c r="AK17" s="743"/>
    </row>
    <row r="18" spans="1:37" ht="15" x14ac:dyDescent="0.25">
      <c r="A18" s="12"/>
      <c r="B18" s="1"/>
      <c r="C18" s="8"/>
      <c r="D18" s="8"/>
      <c r="E18" s="8"/>
      <c r="F18" s="8"/>
      <c r="G18" s="8"/>
      <c r="H18" s="8"/>
      <c r="I18" s="8"/>
      <c r="J18" s="8"/>
      <c r="K18" s="8"/>
      <c r="L18" s="317"/>
      <c r="M18" s="318"/>
      <c r="N18" s="318"/>
      <c r="O18" s="318"/>
      <c r="P18" s="318"/>
      <c r="Q18" s="318"/>
      <c r="R18" s="318"/>
      <c r="S18" s="318"/>
      <c r="T18" s="318"/>
      <c r="U18" s="318"/>
      <c r="V18" s="315">
        <v>0.94191919191919193</v>
      </c>
      <c r="W18" s="318"/>
      <c r="X18" s="319"/>
      <c r="Y18" s="315"/>
      <c r="Z18" s="315">
        <v>0.72992700729927007</v>
      </c>
      <c r="AA18" s="318"/>
      <c r="AB18" s="318"/>
      <c r="AC18" s="318"/>
      <c r="AD18" s="318"/>
      <c r="AE18" s="318"/>
      <c r="AF18" s="899"/>
      <c r="AG18" s="899"/>
      <c r="AH18" s="814"/>
      <c r="AI18" s="919"/>
      <c r="AJ18" s="919"/>
      <c r="AK18" s="743"/>
    </row>
    <row r="19" spans="1:37" ht="15" x14ac:dyDescent="0.25">
      <c r="A19" s="70" t="s">
        <v>59</v>
      </c>
      <c r="B19" s="1"/>
      <c r="C19" s="8"/>
      <c r="D19" s="8"/>
      <c r="E19" s="8"/>
      <c r="F19" s="8"/>
      <c r="G19" s="8"/>
      <c r="H19" s="8"/>
      <c r="I19" s="8"/>
      <c r="J19" s="8"/>
      <c r="K19" s="8"/>
      <c r="L19" s="317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9"/>
      <c r="Y19" s="318"/>
      <c r="Z19" s="318"/>
      <c r="AA19" s="318"/>
      <c r="AB19" s="318"/>
      <c r="AC19" s="318"/>
      <c r="AD19" s="318"/>
      <c r="AE19" s="318"/>
      <c r="AF19" s="899"/>
      <c r="AG19" s="899"/>
      <c r="AH19" s="814"/>
      <c r="AI19" s="919"/>
      <c r="AJ19" s="919"/>
      <c r="AK19" s="743"/>
    </row>
    <row r="20" spans="1:37" ht="15" x14ac:dyDescent="0.25">
      <c r="A20" s="71" t="s">
        <v>2</v>
      </c>
      <c r="B20" s="72">
        <v>123</v>
      </c>
      <c r="C20" s="72">
        <v>77</v>
      </c>
      <c r="D20" s="72">
        <v>60.336000000000013</v>
      </c>
      <c r="E20" s="72">
        <v>44.85</v>
      </c>
      <c r="F20" s="72">
        <v>34.231999999999999</v>
      </c>
      <c r="G20" s="72">
        <v>34.231999999999999</v>
      </c>
      <c r="H20" s="72">
        <v>34.231999999999999</v>
      </c>
      <c r="I20" s="72">
        <v>83</v>
      </c>
      <c r="J20" s="72">
        <v>83</v>
      </c>
      <c r="K20" s="72">
        <v>83</v>
      </c>
      <c r="L20" s="320">
        <v>83</v>
      </c>
      <c r="M20" s="321">
        <v>50</v>
      </c>
      <c r="N20" s="321">
        <v>50</v>
      </c>
      <c r="O20" s="321">
        <v>50</v>
      </c>
      <c r="P20" s="321">
        <v>50</v>
      </c>
      <c r="Q20" s="321">
        <v>50</v>
      </c>
      <c r="R20" s="321">
        <v>58</v>
      </c>
      <c r="S20" s="321">
        <v>58</v>
      </c>
      <c r="T20" s="321">
        <v>58</v>
      </c>
      <c r="U20" s="321">
        <v>58</v>
      </c>
      <c r="V20" s="321">
        <v>58</v>
      </c>
      <c r="W20" s="321">
        <v>58</v>
      </c>
      <c r="X20" s="321">
        <v>36</v>
      </c>
      <c r="Y20" s="321">
        <v>45</v>
      </c>
      <c r="Z20" s="321">
        <v>45</v>
      </c>
      <c r="AA20" s="321">
        <v>45</v>
      </c>
      <c r="AB20" s="321">
        <v>45</v>
      </c>
      <c r="AC20" s="321">
        <v>88</v>
      </c>
      <c r="AD20" s="321">
        <v>88</v>
      </c>
      <c r="AE20" s="321">
        <v>65</v>
      </c>
      <c r="AF20" s="900">
        <v>65</v>
      </c>
      <c r="AG20" s="900">
        <f>'PO '!AG20</f>
        <v>65</v>
      </c>
      <c r="AH20" s="815">
        <f>'PO '!AH20</f>
        <v>58.658000000000001</v>
      </c>
      <c r="AI20" s="920">
        <f>AG42</f>
        <v>63</v>
      </c>
      <c r="AJ20" s="920">
        <f>AH42</f>
        <v>81.658000000000015</v>
      </c>
      <c r="AK20" s="743">
        <f>(AJ20-AH20)/AH20</f>
        <v>0.39210337890824803</v>
      </c>
    </row>
    <row r="21" spans="1:37" ht="15" x14ac:dyDescent="0.25">
      <c r="A21" s="73" t="s">
        <v>21</v>
      </c>
      <c r="B21" s="40">
        <v>911</v>
      </c>
      <c r="C21" s="40">
        <v>473</v>
      </c>
      <c r="D21" s="40">
        <v>357</v>
      </c>
      <c r="E21" s="40">
        <v>442.93</v>
      </c>
      <c r="F21" s="40">
        <v>887.16700000000003</v>
      </c>
      <c r="G21" s="40">
        <v>900</v>
      </c>
      <c r="H21" s="40">
        <v>887.16700000000003</v>
      </c>
      <c r="I21" s="40">
        <v>538.41</v>
      </c>
      <c r="J21" s="40">
        <v>535.65</v>
      </c>
      <c r="K21" s="40">
        <v>531</v>
      </c>
      <c r="L21" s="322">
        <v>521</v>
      </c>
      <c r="M21" s="323">
        <v>472</v>
      </c>
      <c r="N21" s="323">
        <v>455.2</v>
      </c>
      <c r="O21" s="323">
        <v>450</v>
      </c>
      <c r="P21" s="323">
        <v>442</v>
      </c>
      <c r="Q21" s="323">
        <v>437</v>
      </c>
      <c r="R21" s="323">
        <v>464.64</v>
      </c>
      <c r="S21" s="323">
        <v>423</v>
      </c>
      <c r="T21" s="323">
        <v>389</v>
      </c>
      <c r="U21" s="323">
        <v>386</v>
      </c>
      <c r="V21" s="323">
        <v>396</v>
      </c>
      <c r="W21" s="323">
        <v>396</v>
      </c>
      <c r="X21" s="323"/>
      <c r="Y21" s="323">
        <v>414</v>
      </c>
      <c r="Z21" s="323">
        <v>411</v>
      </c>
      <c r="AA21" s="323">
        <v>401</v>
      </c>
      <c r="AB21" s="323">
        <v>388</v>
      </c>
      <c r="AC21" s="323">
        <v>513</v>
      </c>
      <c r="AD21" s="323">
        <v>468.79200000000003</v>
      </c>
      <c r="AE21" s="323">
        <v>476</v>
      </c>
      <c r="AF21" s="901">
        <v>482</v>
      </c>
      <c r="AG21" s="901">
        <f>'PO '!AG21</f>
        <v>500</v>
      </c>
      <c r="AH21" s="816">
        <f>'PO '!AH21</f>
        <v>543</v>
      </c>
      <c r="AI21" s="921"/>
      <c r="AJ21" s="921">
        <f>AJ22*AJ10</f>
        <v>445.07673686189713</v>
      </c>
      <c r="AK21" s="743">
        <f>(AJ21-AH21)/AH21</f>
        <v>-0.18033750117514341</v>
      </c>
    </row>
    <row r="22" spans="1:37" ht="15" x14ac:dyDescent="0.25">
      <c r="A22" s="74" t="s">
        <v>30</v>
      </c>
      <c r="B22" s="19">
        <f>B21/B10</f>
        <v>0.92393509127789042</v>
      </c>
      <c r="C22" s="44">
        <f t="shared" ref="C22:AE22" si="4">C21/C10</f>
        <v>0.8127147766323024</v>
      </c>
      <c r="D22" s="44">
        <f t="shared" si="4"/>
        <v>0.78289473684210531</v>
      </c>
      <c r="E22" s="44">
        <f t="shared" si="4"/>
        <v>0.81721402214022143</v>
      </c>
      <c r="F22" s="44">
        <f t="shared" si="4"/>
        <v>0.81529020062288571</v>
      </c>
      <c r="G22" s="44">
        <f t="shared" si="4"/>
        <v>0.83011892837180468</v>
      </c>
      <c r="H22" s="44">
        <f t="shared" si="4"/>
        <v>0.81529020062288571</v>
      </c>
      <c r="I22" s="44">
        <f t="shared" si="4"/>
        <v>0.7977389912878563</v>
      </c>
      <c r="J22" s="44">
        <f t="shared" si="4"/>
        <v>0.80949970152862671</v>
      </c>
      <c r="K22" s="44">
        <f t="shared" si="4"/>
        <v>0.80610881709982996</v>
      </c>
      <c r="L22" s="324">
        <f t="shared" si="4"/>
        <v>0.78646257887268656</v>
      </c>
      <c r="M22" s="325">
        <f t="shared" si="4"/>
        <v>0.79461279461279466</v>
      </c>
      <c r="N22" s="325">
        <f t="shared" si="4"/>
        <v>0.79000347101700785</v>
      </c>
      <c r="O22" s="326">
        <f t="shared" si="4"/>
        <v>0.7978723404255319</v>
      </c>
      <c r="P22" s="326">
        <f t="shared" si="4"/>
        <v>0.79927667269439417</v>
      </c>
      <c r="Q22" s="325">
        <f t="shared" si="4"/>
        <v>0.79023508137432186</v>
      </c>
      <c r="R22" s="326">
        <f t="shared" si="4"/>
        <v>0.8</v>
      </c>
      <c r="S22" s="326">
        <f t="shared" si="4"/>
        <v>0.80571428571428572</v>
      </c>
      <c r="T22" s="326">
        <f t="shared" si="4"/>
        <v>0.78269617706237427</v>
      </c>
      <c r="U22" s="326">
        <f t="shared" si="4"/>
        <v>0.78615071283095728</v>
      </c>
      <c r="V22" s="326">
        <f t="shared" si="4"/>
        <v>0.80651731160896134</v>
      </c>
      <c r="W22" s="325">
        <f t="shared" si="4"/>
        <v>0.81481481481481477</v>
      </c>
      <c r="X22" s="326">
        <f t="shared" si="4"/>
        <v>0</v>
      </c>
      <c r="Y22" s="325">
        <f t="shared" si="4"/>
        <v>0.79462571976967367</v>
      </c>
      <c r="Z22" s="325">
        <f t="shared" si="4"/>
        <v>0.78435114503816794</v>
      </c>
      <c r="AA22" s="325">
        <f t="shared" si="4"/>
        <v>0.76819923371647514</v>
      </c>
      <c r="AB22" s="325">
        <f t="shared" si="4"/>
        <v>0.74329501915708818</v>
      </c>
      <c r="AC22" s="325">
        <f t="shared" si="4"/>
        <v>0.7995635910224439</v>
      </c>
      <c r="AD22" s="325">
        <f t="shared" si="4"/>
        <v>0.8</v>
      </c>
      <c r="AE22" s="325">
        <f t="shared" si="4"/>
        <v>0.78547854785478544</v>
      </c>
      <c r="AF22" s="902">
        <f>AF21/AF10</f>
        <v>0.78629690048939638</v>
      </c>
      <c r="AG22" s="902">
        <f>'PO '!AG22</f>
        <v>0.81300813008130079</v>
      </c>
      <c r="AH22" s="817">
        <f>'PO '!AH22</f>
        <v>0.79762856068440346</v>
      </c>
      <c r="AI22" s="922"/>
      <c r="AJ22" s="922">
        <f>AH22</f>
        <v>0.79762856068440346</v>
      </c>
      <c r="AK22" s="743"/>
    </row>
    <row r="23" spans="1:37" ht="15" x14ac:dyDescent="0.25">
      <c r="A23" s="43" t="s">
        <v>31</v>
      </c>
      <c r="B23" s="75"/>
      <c r="C23" s="76"/>
      <c r="D23" s="76"/>
      <c r="E23" s="77">
        <v>3</v>
      </c>
      <c r="F23" s="75"/>
      <c r="G23" s="9"/>
      <c r="H23" s="9"/>
      <c r="I23" s="9"/>
      <c r="J23" s="9"/>
      <c r="K23" s="78">
        <v>3</v>
      </c>
      <c r="L23" s="327"/>
      <c r="M23" s="328"/>
      <c r="N23" s="329"/>
      <c r="O23" s="329"/>
      <c r="P23" s="329"/>
      <c r="Q23" s="329"/>
      <c r="R23" s="329"/>
      <c r="S23" s="329"/>
      <c r="T23" s="329"/>
      <c r="U23" s="329"/>
      <c r="V23" s="329"/>
      <c r="W23" s="329"/>
      <c r="X23" s="330"/>
      <c r="Y23" s="329"/>
      <c r="Z23" s="329"/>
      <c r="AA23" s="329"/>
      <c r="AB23" s="329"/>
      <c r="AC23" s="329"/>
      <c r="AD23" s="329"/>
      <c r="AE23" s="329"/>
      <c r="AF23" s="903"/>
      <c r="AG23" s="903"/>
      <c r="AH23" s="818"/>
      <c r="AI23" s="923"/>
      <c r="AJ23" s="923"/>
      <c r="AK23" s="743"/>
    </row>
    <row r="24" spans="1:37" ht="15" x14ac:dyDescent="0.25">
      <c r="A24" s="70" t="s">
        <v>20</v>
      </c>
      <c r="B24" s="79">
        <v>8</v>
      </c>
      <c r="C24" s="79">
        <v>36</v>
      </c>
      <c r="D24" s="79">
        <v>12</v>
      </c>
      <c r="E24" s="79">
        <v>14</v>
      </c>
      <c r="F24" s="79">
        <v>8</v>
      </c>
      <c r="G24" s="79">
        <v>8</v>
      </c>
      <c r="H24" s="79">
        <v>8</v>
      </c>
      <c r="I24" s="79">
        <v>10</v>
      </c>
      <c r="J24" s="79">
        <v>5</v>
      </c>
      <c r="K24" s="79">
        <v>6</v>
      </c>
      <c r="L24" s="331">
        <v>5</v>
      </c>
      <c r="M24" s="332">
        <v>5</v>
      </c>
      <c r="N24" s="332">
        <v>11</v>
      </c>
      <c r="O24" s="332">
        <v>15</v>
      </c>
      <c r="P24" s="332">
        <v>16</v>
      </c>
      <c r="Q24" s="332">
        <v>15</v>
      </c>
      <c r="R24" s="332">
        <v>10</v>
      </c>
      <c r="S24" s="332">
        <v>10</v>
      </c>
      <c r="T24" s="332">
        <v>10</v>
      </c>
      <c r="U24" s="332">
        <v>10</v>
      </c>
      <c r="V24" s="332">
        <v>12</v>
      </c>
      <c r="W24" s="332">
        <v>11</v>
      </c>
      <c r="X24" s="332">
        <v>0</v>
      </c>
      <c r="Y24" s="332">
        <v>10</v>
      </c>
      <c r="Z24" s="332">
        <v>6</v>
      </c>
      <c r="AA24" s="332">
        <v>7</v>
      </c>
      <c r="AB24" s="332">
        <v>7</v>
      </c>
      <c r="AC24" s="332">
        <v>5</v>
      </c>
      <c r="AD24" s="332">
        <v>5</v>
      </c>
      <c r="AE24" s="332">
        <v>7</v>
      </c>
      <c r="AF24" s="799">
        <f>AF25+AF26</f>
        <v>5</v>
      </c>
      <c r="AG24" s="799">
        <f>AG25+AG26</f>
        <v>0</v>
      </c>
      <c r="AH24" s="799">
        <f>AH25+AH26</f>
        <v>10</v>
      </c>
      <c r="AI24" s="799">
        <f>AI25+AI26</f>
        <v>0</v>
      </c>
      <c r="AJ24" s="799">
        <f>AJ25+AJ26</f>
        <v>10</v>
      </c>
      <c r="AK24" s="333">
        <f>(AJ24-AH24)/AH24</f>
        <v>0</v>
      </c>
    </row>
    <row r="25" spans="1:37" ht="14.25" x14ac:dyDescent="0.2">
      <c r="A25" s="32" t="s">
        <v>45</v>
      </c>
      <c r="B25" s="41">
        <v>5</v>
      </c>
      <c r="C25" s="41">
        <v>6.3</v>
      </c>
      <c r="D25" s="41">
        <v>5</v>
      </c>
      <c r="E25" s="41">
        <v>6</v>
      </c>
      <c r="F25" s="41">
        <v>5</v>
      </c>
      <c r="G25" s="41">
        <v>4</v>
      </c>
      <c r="H25" s="41">
        <v>5</v>
      </c>
      <c r="I25" s="41">
        <v>9</v>
      </c>
      <c r="J25" s="41">
        <v>4</v>
      </c>
      <c r="K25" s="41">
        <v>4</v>
      </c>
      <c r="L25" s="334">
        <v>3</v>
      </c>
      <c r="M25" s="335">
        <v>3</v>
      </c>
      <c r="N25" s="335">
        <v>3</v>
      </c>
      <c r="O25" s="335">
        <v>5</v>
      </c>
      <c r="P25" s="335">
        <v>5</v>
      </c>
      <c r="Q25" s="335">
        <v>4</v>
      </c>
      <c r="R25" s="335">
        <v>5</v>
      </c>
      <c r="S25" s="335">
        <v>5</v>
      </c>
      <c r="T25" s="335">
        <v>5</v>
      </c>
      <c r="U25" s="335">
        <v>5</v>
      </c>
      <c r="V25" s="335">
        <v>7</v>
      </c>
      <c r="W25" s="335">
        <v>5</v>
      </c>
      <c r="X25" s="335"/>
      <c r="Y25" s="335">
        <v>5</v>
      </c>
      <c r="Z25" s="335">
        <v>4</v>
      </c>
      <c r="AA25" s="335">
        <v>2</v>
      </c>
      <c r="AB25" s="335">
        <v>3</v>
      </c>
      <c r="AC25" s="335">
        <v>4</v>
      </c>
      <c r="AD25" s="335">
        <v>4</v>
      </c>
      <c r="AE25" s="335">
        <v>3</v>
      </c>
      <c r="AF25" s="335">
        <v>3</v>
      </c>
      <c r="AG25" s="335"/>
      <c r="AH25" s="819">
        <f>'PO '!AH25</f>
        <v>8</v>
      </c>
      <c r="AI25" s="924"/>
      <c r="AJ25" s="924">
        <v>8</v>
      </c>
      <c r="AK25" s="294">
        <f>(AJ25-AH25)/AH25</f>
        <v>0</v>
      </c>
    </row>
    <row r="26" spans="1:37" ht="14.25" x14ac:dyDescent="0.2">
      <c r="A26" s="32" t="s">
        <v>3</v>
      </c>
      <c r="B26" s="41">
        <v>3</v>
      </c>
      <c r="C26" s="41">
        <v>29.7</v>
      </c>
      <c r="D26" s="41">
        <v>7</v>
      </c>
      <c r="E26" s="41">
        <v>8</v>
      </c>
      <c r="F26" s="41">
        <v>3</v>
      </c>
      <c r="G26" s="41">
        <v>4</v>
      </c>
      <c r="H26" s="41">
        <v>3</v>
      </c>
      <c r="I26" s="41">
        <v>1</v>
      </c>
      <c r="J26" s="41">
        <v>1</v>
      </c>
      <c r="K26" s="41">
        <v>2</v>
      </c>
      <c r="L26" s="334">
        <v>2</v>
      </c>
      <c r="M26" s="335">
        <v>2</v>
      </c>
      <c r="N26" s="335">
        <v>8</v>
      </c>
      <c r="O26" s="335">
        <v>10</v>
      </c>
      <c r="P26" s="335">
        <v>11</v>
      </c>
      <c r="Q26" s="335">
        <v>11</v>
      </c>
      <c r="R26" s="335">
        <v>5</v>
      </c>
      <c r="S26" s="335">
        <v>5</v>
      </c>
      <c r="T26" s="335">
        <v>5</v>
      </c>
      <c r="U26" s="335">
        <v>5</v>
      </c>
      <c r="V26" s="335">
        <v>5</v>
      </c>
      <c r="W26" s="335">
        <v>6</v>
      </c>
      <c r="X26" s="335"/>
      <c r="Y26" s="335">
        <v>5</v>
      </c>
      <c r="Z26" s="335">
        <v>2</v>
      </c>
      <c r="AA26" s="335">
        <v>5</v>
      </c>
      <c r="AB26" s="335">
        <v>4</v>
      </c>
      <c r="AC26" s="335">
        <v>1</v>
      </c>
      <c r="AD26" s="335">
        <v>1</v>
      </c>
      <c r="AE26" s="335">
        <v>4</v>
      </c>
      <c r="AF26" s="335">
        <v>2</v>
      </c>
      <c r="AG26" s="335"/>
      <c r="AH26" s="819">
        <f>'PO '!AH26</f>
        <v>2</v>
      </c>
      <c r="AI26" s="924"/>
      <c r="AJ26" s="924">
        <v>2</v>
      </c>
      <c r="AK26" s="294">
        <f>(AJ26-AH26)/AH26</f>
        <v>0</v>
      </c>
    </row>
    <row r="27" spans="1:37" ht="18" x14ac:dyDescent="0.25">
      <c r="A27" s="80" t="s">
        <v>4</v>
      </c>
      <c r="B27" s="81">
        <v>1042</v>
      </c>
      <c r="C27" s="81">
        <v>586</v>
      </c>
      <c r="D27" s="81">
        <v>429.33600000000001</v>
      </c>
      <c r="E27" s="81">
        <v>501.78</v>
      </c>
      <c r="F27" s="81">
        <v>929.399</v>
      </c>
      <c r="G27" s="81">
        <v>942.23199999999997</v>
      </c>
      <c r="H27" s="81">
        <v>929.399</v>
      </c>
      <c r="I27" s="81">
        <v>631.41</v>
      </c>
      <c r="J27" s="81">
        <v>623.65</v>
      </c>
      <c r="K27" s="81">
        <v>623.65</v>
      </c>
      <c r="L27" s="336">
        <v>609</v>
      </c>
      <c r="M27" s="337">
        <v>527</v>
      </c>
      <c r="N27" s="337">
        <v>516.20000000000005</v>
      </c>
      <c r="O27" s="337">
        <v>515</v>
      </c>
      <c r="P27" s="337">
        <v>508</v>
      </c>
      <c r="Q27" s="337">
        <v>502</v>
      </c>
      <c r="R27" s="337">
        <v>532.64</v>
      </c>
      <c r="S27" s="337">
        <v>491</v>
      </c>
      <c r="T27" s="337">
        <v>457</v>
      </c>
      <c r="U27" s="337">
        <v>454</v>
      </c>
      <c r="V27" s="337">
        <v>466</v>
      </c>
      <c r="W27" s="337">
        <v>465</v>
      </c>
      <c r="X27" s="337">
        <v>36</v>
      </c>
      <c r="Y27" s="337">
        <v>469</v>
      </c>
      <c r="Z27" s="337">
        <v>462</v>
      </c>
      <c r="AA27" s="337">
        <v>453</v>
      </c>
      <c r="AB27" s="337">
        <v>440</v>
      </c>
      <c r="AC27" s="337">
        <v>606</v>
      </c>
      <c r="AD27" s="337">
        <v>561.79200000000003</v>
      </c>
      <c r="AE27" s="337">
        <v>548</v>
      </c>
      <c r="AF27" s="800">
        <f>AF20+AF21+AF23+AF24</f>
        <v>552</v>
      </c>
      <c r="AG27" s="800">
        <f>AG20+AG21+AG23+AG24</f>
        <v>565</v>
      </c>
      <c r="AH27" s="800">
        <f>AH20+AH21+AH23+AH24</f>
        <v>611.65800000000002</v>
      </c>
      <c r="AI27" s="800">
        <f>AI20+AI21+AI23+AI24</f>
        <v>63</v>
      </c>
      <c r="AJ27" s="800">
        <f>AJ20+AJ21+AJ23+AJ24</f>
        <v>536.73473686189709</v>
      </c>
      <c r="AK27" s="338">
        <f>(AJ27-AH27)/AH27</f>
        <v>-0.12249208403732628</v>
      </c>
    </row>
    <row r="28" spans="1:37" ht="15" thickBot="1" x14ac:dyDescent="0.25">
      <c r="A28" s="25"/>
      <c r="B28" s="26"/>
      <c r="C28" s="60"/>
      <c r="D28" s="27"/>
      <c r="E28" s="28"/>
      <c r="F28" s="28"/>
      <c r="G28" s="29"/>
      <c r="H28" s="29"/>
      <c r="I28" s="29"/>
      <c r="J28" s="29"/>
      <c r="K28" s="29"/>
      <c r="L28" s="339"/>
      <c r="M28" s="340"/>
      <c r="N28" s="340"/>
      <c r="O28" s="340"/>
      <c r="P28" s="340"/>
      <c r="Q28" s="340"/>
      <c r="R28" s="340"/>
      <c r="S28" s="340"/>
      <c r="T28" s="340"/>
      <c r="U28" s="340"/>
      <c r="V28" s="340"/>
      <c r="W28" s="340"/>
      <c r="X28" s="341"/>
      <c r="Y28" s="340"/>
      <c r="Z28" s="340"/>
      <c r="AA28" s="340"/>
      <c r="AB28" s="340" t="s">
        <v>42</v>
      </c>
      <c r="AC28" s="340"/>
      <c r="AD28" s="340"/>
      <c r="AE28" s="340"/>
      <c r="AF28" s="801"/>
      <c r="AG28" s="801"/>
      <c r="AH28" s="801"/>
      <c r="AI28" s="801"/>
      <c r="AJ28" s="801"/>
      <c r="AK28" s="294"/>
    </row>
    <row r="29" spans="1:37" ht="18.75" customHeight="1" thickTop="1" x14ac:dyDescent="0.25">
      <c r="A29" s="16" t="s">
        <v>5</v>
      </c>
      <c r="B29" s="45"/>
      <c r="C29" s="46"/>
      <c r="D29" s="47"/>
      <c r="E29" s="48"/>
      <c r="F29" s="48"/>
      <c r="G29" s="49"/>
      <c r="H29" s="49"/>
      <c r="I29" s="49"/>
      <c r="J29" s="49"/>
      <c r="K29" s="49"/>
      <c r="L29" s="342"/>
      <c r="M29" s="343"/>
      <c r="N29" s="343"/>
      <c r="O29" s="343"/>
      <c r="P29" s="343"/>
      <c r="Q29" s="343"/>
      <c r="R29" s="343"/>
      <c r="S29" s="343"/>
      <c r="T29" s="343"/>
      <c r="U29" s="343"/>
      <c r="V29" s="343"/>
      <c r="W29" s="343"/>
      <c r="X29" s="343"/>
      <c r="Y29" s="343"/>
      <c r="Z29" s="343"/>
      <c r="AA29" s="343"/>
      <c r="AB29" s="343"/>
      <c r="AC29" s="343"/>
      <c r="AD29" s="343"/>
      <c r="AE29" s="343"/>
      <c r="AF29" s="802"/>
      <c r="AG29" s="802"/>
      <c r="AH29" s="802"/>
      <c r="AI29" s="802"/>
      <c r="AJ29" s="802"/>
      <c r="AK29" s="344"/>
    </row>
    <row r="30" spans="1:37" s="4" customFormat="1" ht="18" x14ac:dyDescent="0.25">
      <c r="A30" s="21"/>
      <c r="B30" s="50"/>
      <c r="C30" s="51"/>
      <c r="D30" s="52"/>
      <c r="E30" s="53"/>
      <c r="F30" s="53"/>
      <c r="G30" s="54"/>
      <c r="H30" s="54"/>
      <c r="I30" s="54"/>
      <c r="J30" s="54"/>
      <c r="K30" s="54"/>
      <c r="L30" s="345"/>
      <c r="M30" s="346"/>
      <c r="N30" s="346"/>
      <c r="O30" s="346"/>
      <c r="P30" s="346"/>
      <c r="Q30" s="346"/>
      <c r="R30" s="346"/>
      <c r="S30" s="346"/>
      <c r="T30" s="346"/>
      <c r="U30" s="346"/>
      <c r="V30" s="346"/>
      <c r="W30" s="346"/>
      <c r="X30" s="346"/>
      <c r="Y30" s="346"/>
      <c r="Z30" s="346"/>
      <c r="AA30" s="346"/>
      <c r="AB30" s="346"/>
      <c r="AC30" s="346"/>
      <c r="AD30" s="346"/>
      <c r="AE30" s="346"/>
      <c r="AF30" s="803"/>
      <c r="AG30" s="803"/>
      <c r="AH30" s="803"/>
      <c r="AI30" s="803"/>
      <c r="AJ30" s="803"/>
      <c r="AK30" s="294"/>
    </row>
    <row r="31" spans="1:37" ht="15" x14ac:dyDescent="0.25">
      <c r="A31" s="33" t="s">
        <v>73</v>
      </c>
      <c r="B31" s="55">
        <v>500</v>
      </c>
      <c r="C31" s="55">
        <v>279.89999999999998</v>
      </c>
      <c r="D31" s="55">
        <v>138.77699999999999</v>
      </c>
      <c r="E31" s="55">
        <v>264</v>
      </c>
      <c r="F31" s="55">
        <v>477.63200000000001</v>
      </c>
      <c r="G31" s="55">
        <v>505</v>
      </c>
      <c r="H31" s="55">
        <v>477.63200000000001</v>
      </c>
      <c r="I31" s="55">
        <v>300</v>
      </c>
      <c r="J31" s="55">
        <v>280</v>
      </c>
      <c r="K31" s="55">
        <v>240</v>
      </c>
      <c r="L31" s="347">
        <v>200</v>
      </c>
      <c r="M31" s="348">
        <v>280</v>
      </c>
      <c r="N31" s="348">
        <v>270</v>
      </c>
      <c r="O31" s="348">
        <v>245</v>
      </c>
      <c r="P31" s="348">
        <v>240</v>
      </c>
      <c r="Q31" s="348">
        <v>235</v>
      </c>
      <c r="R31" s="348">
        <v>260</v>
      </c>
      <c r="S31" s="348">
        <v>235</v>
      </c>
      <c r="T31" s="348">
        <v>230</v>
      </c>
      <c r="U31" s="348">
        <v>230</v>
      </c>
      <c r="V31" s="348">
        <v>230</v>
      </c>
      <c r="W31" s="348">
        <v>226</v>
      </c>
      <c r="X31" s="348">
        <v>0</v>
      </c>
      <c r="Y31" s="348">
        <v>220</v>
      </c>
      <c r="Z31" s="348">
        <v>220</v>
      </c>
      <c r="AA31" s="348">
        <v>205</v>
      </c>
      <c r="AB31" s="348">
        <v>202</v>
      </c>
      <c r="AC31" s="348">
        <v>270</v>
      </c>
      <c r="AD31" s="348">
        <v>260</v>
      </c>
      <c r="AE31" s="348">
        <v>212</v>
      </c>
      <c r="AF31" s="804">
        <f>AF32+AF33+AF34+AF35</f>
        <v>202</v>
      </c>
      <c r="AG31" s="804">
        <f>AG32+AG33+AG34+AG35</f>
        <v>202</v>
      </c>
      <c r="AH31" s="804">
        <f>AH32+AH33+AH34+AH35</f>
        <v>195</v>
      </c>
      <c r="AI31" s="804">
        <f>AI32+AI33+AI34+AI35</f>
        <v>0</v>
      </c>
      <c r="AJ31" s="804">
        <f>AJ32+AJ33+AJ34+AJ35</f>
        <v>195</v>
      </c>
      <c r="AK31" s="333">
        <f>(AJ31-AH31)/AH31</f>
        <v>0</v>
      </c>
    </row>
    <row r="32" spans="1:37" ht="16.5" x14ac:dyDescent="0.2">
      <c r="A32" s="34" t="s">
        <v>183</v>
      </c>
      <c r="B32" s="35">
        <v>340</v>
      </c>
      <c r="C32" s="35">
        <v>111.9</v>
      </c>
      <c r="D32" s="35">
        <v>74.777000000000001</v>
      </c>
      <c r="E32" s="35">
        <v>104</v>
      </c>
      <c r="F32" s="35">
        <v>274.63200000000001</v>
      </c>
      <c r="G32" s="35">
        <v>300</v>
      </c>
      <c r="H32" s="35">
        <v>274.63200000000001</v>
      </c>
      <c r="I32" s="35">
        <v>150</v>
      </c>
      <c r="J32" s="35">
        <v>120</v>
      </c>
      <c r="K32" s="35">
        <v>80</v>
      </c>
      <c r="L32" s="349">
        <v>66</v>
      </c>
      <c r="M32" s="350">
        <v>150</v>
      </c>
      <c r="N32" s="350">
        <v>140</v>
      </c>
      <c r="O32" s="350">
        <v>100</v>
      </c>
      <c r="P32" s="350">
        <v>70</v>
      </c>
      <c r="Q32" s="302">
        <v>65</v>
      </c>
      <c r="R32" s="350">
        <v>100</v>
      </c>
      <c r="S32" s="350">
        <v>65</v>
      </c>
      <c r="T32" s="350">
        <v>75</v>
      </c>
      <c r="U32" s="350">
        <v>75</v>
      </c>
      <c r="V32" s="350">
        <v>75</v>
      </c>
      <c r="W32" s="302">
        <v>64</v>
      </c>
      <c r="X32" s="350"/>
      <c r="Y32" s="350">
        <v>60</v>
      </c>
      <c r="Z32" s="350">
        <v>60</v>
      </c>
      <c r="AA32" s="350">
        <v>45</v>
      </c>
      <c r="AB32" s="302">
        <v>42</v>
      </c>
      <c r="AC32" s="350">
        <v>110</v>
      </c>
      <c r="AD32" s="350">
        <v>100</v>
      </c>
      <c r="AE32" s="302">
        <v>50</v>
      </c>
      <c r="AF32" s="896">
        <v>40</v>
      </c>
      <c r="AG32" s="896">
        <f>'PO '!AG32</f>
        <v>40</v>
      </c>
      <c r="AH32" s="811">
        <f>'PO '!AH32</f>
        <v>30</v>
      </c>
      <c r="AI32" s="916"/>
      <c r="AJ32" s="916">
        <v>30</v>
      </c>
      <c r="AK32" s="294">
        <f>(AJ32-AH32)/AH32</f>
        <v>0</v>
      </c>
    </row>
    <row r="33" spans="1:38" ht="16.5" x14ac:dyDescent="0.2">
      <c r="A33" s="34" t="s">
        <v>185</v>
      </c>
      <c r="B33" s="35">
        <v>100</v>
      </c>
      <c r="C33" s="35">
        <v>76</v>
      </c>
      <c r="D33" s="35">
        <v>2</v>
      </c>
      <c r="E33" s="35">
        <v>41</v>
      </c>
      <c r="F33" s="35">
        <v>78</v>
      </c>
      <c r="G33" s="35">
        <v>80</v>
      </c>
      <c r="H33" s="35">
        <v>78</v>
      </c>
      <c r="I33" s="35">
        <v>40</v>
      </c>
      <c r="J33" s="35">
        <v>40</v>
      </c>
      <c r="K33" s="35">
        <v>40</v>
      </c>
      <c r="L33" s="349">
        <v>14</v>
      </c>
      <c r="M33" s="350">
        <v>15</v>
      </c>
      <c r="N33" s="350">
        <v>15</v>
      </c>
      <c r="O33" s="350">
        <v>15</v>
      </c>
      <c r="P33" s="350">
        <v>35</v>
      </c>
      <c r="Q33" s="302">
        <v>35</v>
      </c>
      <c r="R33" s="350">
        <v>20</v>
      </c>
      <c r="S33" s="350">
        <v>35</v>
      </c>
      <c r="T33" s="350">
        <v>20</v>
      </c>
      <c r="U33" s="350">
        <v>20</v>
      </c>
      <c r="V33" s="350">
        <v>20</v>
      </c>
      <c r="W33" s="302">
        <v>24</v>
      </c>
      <c r="X33" s="350"/>
      <c r="Y33" s="350">
        <v>20</v>
      </c>
      <c r="Z33" s="350">
        <v>20</v>
      </c>
      <c r="AA33" s="350">
        <v>20</v>
      </c>
      <c r="AB33" s="302">
        <v>20</v>
      </c>
      <c r="AC33" s="350">
        <v>20</v>
      </c>
      <c r="AD33" s="350">
        <v>20</v>
      </c>
      <c r="AE33" s="302">
        <v>20</v>
      </c>
      <c r="AF33" s="896">
        <v>20</v>
      </c>
      <c r="AG33" s="896">
        <f>'PO '!AG33</f>
        <v>20</v>
      </c>
      <c r="AH33" s="811">
        <f>'PO '!AH33</f>
        <v>20</v>
      </c>
      <c r="AI33" s="916"/>
      <c r="AJ33" s="916">
        <v>20</v>
      </c>
      <c r="AK33" s="294">
        <f>(AJ33-AH33)/AH33</f>
        <v>0</v>
      </c>
    </row>
    <row r="34" spans="1:38" ht="14.25" x14ac:dyDescent="0.2">
      <c r="A34" s="34" t="s">
        <v>17</v>
      </c>
      <c r="B34" s="35">
        <v>30</v>
      </c>
      <c r="C34" s="35">
        <v>80</v>
      </c>
      <c r="D34" s="35">
        <v>50</v>
      </c>
      <c r="E34" s="35">
        <v>90</v>
      </c>
      <c r="F34" s="35">
        <v>100</v>
      </c>
      <c r="G34" s="35">
        <v>100</v>
      </c>
      <c r="H34" s="35">
        <v>100</v>
      </c>
      <c r="I34" s="35">
        <v>90</v>
      </c>
      <c r="J34" s="35">
        <v>100</v>
      </c>
      <c r="K34" s="35">
        <v>100</v>
      </c>
      <c r="L34" s="349">
        <v>100</v>
      </c>
      <c r="M34" s="350">
        <v>100</v>
      </c>
      <c r="N34" s="350">
        <v>100</v>
      </c>
      <c r="O34" s="350">
        <v>115</v>
      </c>
      <c r="P34" s="350">
        <v>120</v>
      </c>
      <c r="Q34" s="302">
        <v>120</v>
      </c>
      <c r="R34" s="350">
        <v>120</v>
      </c>
      <c r="S34" s="350">
        <v>120</v>
      </c>
      <c r="T34" s="350">
        <v>120</v>
      </c>
      <c r="U34" s="350">
        <v>120</v>
      </c>
      <c r="V34" s="350">
        <v>120</v>
      </c>
      <c r="W34" s="302">
        <v>120</v>
      </c>
      <c r="X34" s="350"/>
      <c r="Y34" s="350">
        <v>120</v>
      </c>
      <c r="Z34" s="350">
        <v>120</v>
      </c>
      <c r="AA34" s="350">
        <v>120</v>
      </c>
      <c r="AB34" s="302">
        <v>120</v>
      </c>
      <c r="AC34" s="350">
        <v>120</v>
      </c>
      <c r="AD34" s="350">
        <v>120</v>
      </c>
      <c r="AE34" s="302">
        <v>120</v>
      </c>
      <c r="AF34" s="896">
        <v>120</v>
      </c>
      <c r="AG34" s="896">
        <f>'PO '!AG34</f>
        <v>120</v>
      </c>
      <c r="AH34" s="811">
        <f>'PO '!AH34</f>
        <v>120</v>
      </c>
      <c r="AI34" s="916"/>
      <c r="AJ34" s="916">
        <v>120</v>
      </c>
      <c r="AK34" s="294">
        <f>(AJ34-AH34)/AH34</f>
        <v>0</v>
      </c>
    </row>
    <row r="35" spans="1:38" ht="14.25" x14ac:dyDescent="0.2">
      <c r="A35" s="34" t="s">
        <v>7</v>
      </c>
      <c r="B35" s="35">
        <v>30</v>
      </c>
      <c r="C35" s="35">
        <v>12</v>
      </c>
      <c r="D35" s="35">
        <v>12</v>
      </c>
      <c r="E35" s="35">
        <v>29</v>
      </c>
      <c r="F35" s="35">
        <v>25</v>
      </c>
      <c r="G35" s="35">
        <v>25</v>
      </c>
      <c r="H35" s="35">
        <v>25</v>
      </c>
      <c r="I35" s="35">
        <v>20</v>
      </c>
      <c r="J35" s="35">
        <v>20</v>
      </c>
      <c r="K35" s="35">
        <v>20</v>
      </c>
      <c r="L35" s="349">
        <v>20</v>
      </c>
      <c r="M35" s="350">
        <v>15</v>
      </c>
      <c r="N35" s="350">
        <v>15</v>
      </c>
      <c r="O35" s="350">
        <v>15</v>
      </c>
      <c r="P35" s="350">
        <v>15</v>
      </c>
      <c r="Q35" s="302">
        <v>15</v>
      </c>
      <c r="R35" s="350">
        <v>20</v>
      </c>
      <c r="S35" s="350">
        <v>15</v>
      </c>
      <c r="T35" s="350">
        <v>15</v>
      </c>
      <c r="U35" s="350">
        <v>15</v>
      </c>
      <c r="V35" s="350">
        <v>15</v>
      </c>
      <c r="W35" s="302">
        <v>18</v>
      </c>
      <c r="X35" s="350"/>
      <c r="Y35" s="350">
        <v>20</v>
      </c>
      <c r="Z35" s="350">
        <v>20</v>
      </c>
      <c r="AA35" s="350">
        <v>20</v>
      </c>
      <c r="AB35" s="302">
        <v>20</v>
      </c>
      <c r="AC35" s="350">
        <v>20</v>
      </c>
      <c r="AD35" s="350">
        <v>20</v>
      </c>
      <c r="AE35" s="302">
        <v>22</v>
      </c>
      <c r="AF35" s="896">
        <v>22</v>
      </c>
      <c r="AG35" s="896">
        <f>'PO '!AG35</f>
        <v>22</v>
      </c>
      <c r="AH35" s="811">
        <f>'PO '!AH35</f>
        <v>25</v>
      </c>
      <c r="AI35" s="916"/>
      <c r="AJ35" s="916">
        <v>25</v>
      </c>
      <c r="AK35" s="294">
        <f>(AJ35-AH35)/AH35</f>
        <v>0</v>
      </c>
    </row>
    <row r="36" spans="1:38" ht="15" x14ac:dyDescent="0.25">
      <c r="A36" s="34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351"/>
      <c r="M36" s="328"/>
      <c r="N36" s="328"/>
      <c r="O36" s="328"/>
      <c r="P36" s="328"/>
      <c r="Q36" s="352"/>
      <c r="R36" s="328"/>
      <c r="S36" s="328"/>
      <c r="T36" s="328"/>
      <c r="U36" s="328"/>
      <c r="V36" s="328"/>
      <c r="W36" s="352"/>
      <c r="X36" s="353"/>
      <c r="Y36" s="328"/>
      <c r="Z36" s="328"/>
      <c r="AA36" s="328"/>
      <c r="AB36" s="352"/>
      <c r="AC36" s="328"/>
      <c r="AD36" s="328"/>
      <c r="AE36" s="352"/>
      <c r="AF36" s="906"/>
      <c r="AG36" s="906"/>
      <c r="AH36" s="811">
        <f>'PO '!AH36</f>
        <v>0</v>
      </c>
      <c r="AI36" s="925"/>
      <c r="AJ36" s="925"/>
      <c r="AK36" s="743"/>
    </row>
    <row r="37" spans="1:38" ht="15" x14ac:dyDescent="0.25">
      <c r="A37" s="36" t="s">
        <v>9</v>
      </c>
      <c r="B37" s="39">
        <v>465</v>
      </c>
      <c r="C37" s="56">
        <v>245.76400000000001</v>
      </c>
      <c r="D37" s="56">
        <v>245.535</v>
      </c>
      <c r="E37" s="56">
        <v>207.00899999999999</v>
      </c>
      <c r="F37" s="56">
        <v>368.69799999999998</v>
      </c>
      <c r="G37" s="56">
        <v>360</v>
      </c>
      <c r="H37" s="56">
        <v>368.69799999999998</v>
      </c>
      <c r="I37" s="56">
        <v>270</v>
      </c>
      <c r="J37" s="56">
        <v>270</v>
      </c>
      <c r="K37" s="56">
        <v>335</v>
      </c>
      <c r="L37" s="347">
        <v>359</v>
      </c>
      <c r="M37" s="348">
        <v>200</v>
      </c>
      <c r="N37" s="348">
        <v>175</v>
      </c>
      <c r="O37" s="348">
        <v>175</v>
      </c>
      <c r="P37" s="348">
        <v>210</v>
      </c>
      <c r="Q37" s="348">
        <v>209</v>
      </c>
      <c r="R37" s="348">
        <v>225</v>
      </c>
      <c r="S37" s="348">
        <v>200</v>
      </c>
      <c r="T37" s="348">
        <v>190</v>
      </c>
      <c r="U37" s="348">
        <v>195</v>
      </c>
      <c r="V37" s="348">
        <v>200</v>
      </c>
      <c r="W37" s="348">
        <v>194</v>
      </c>
      <c r="X37" s="348">
        <v>0</v>
      </c>
      <c r="Y37" s="348">
        <v>190</v>
      </c>
      <c r="Z37" s="348">
        <v>165</v>
      </c>
      <c r="AA37" s="348">
        <v>160</v>
      </c>
      <c r="AB37" s="348">
        <v>173</v>
      </c>
      <c r="AC37" s="348">
        <v>250</v>
      </c>
      <c r="AD37" s="348">
        <v>230</v>
      </c>
      <c r="AE37" s="348">
        <v>280</v>
      </c>
      <c r="AF37" s="804">
        <f>AF38+AF39</f>
        <v>290</v>
      </c>
      <c r="AG37" s="804">
        <f>AG38+AG39</f>
        <v>300</v>
      </c>
      <c r="AH37" s="804">
        <f>AH38+AH39</f>
        <v>335</v>
      </c>
      <c r="AI37" s="804">
        <f>AI38+AI39</f>
        <v>0</v>
      </c>
      <c r="AJ37" s="804">
        <f>AJ38+AJ39</f>
        <v>245</v>
      </c>
      <c r="AK37" s="333">
        <f>(AJ37-AH37)/AH37</f>
        <v>-0.26865671641791045</v>
      </c>
    </row>
    <row r="38" spans="1:38" ht="14.25" x14ac:dyDescent="0.2">
      <c r="A38" s="34" t="s">
        <v>10</v>
      </c>
      <c r="B38" s="35">
        <v>260</v>
      </c>
      <c r="C38" s="35">
        <v>162.06399999999999</v>
      </c>
      <c r="D38" s="35">
        <v>161.625</v>
      </c>
      <c r="E38" s="35">
        <v>133.00899999999999</v>
      </c>
      <c r="F38" s="35">
        <v>212.245</v>
      </c>
      <c r="G38" s="35">
        <v>200</v>
      </c>
      <c r="H38" s="35">
        <v>212.245</v>
      </c>
      <c r="I38" s="35">
        <v>100</v>
      </c>
      <c r="J38" s="35">
        <v>130</v>
      </c>
      <c r="K38" s="35">
        <v>100</v>
      </c>
      <c r="L38" s="349">
        <v>127</v>
      </c>
      <c r="M38" s="350">
        <v>125</v>
      </c>
      <c r="N38" s="350">
        <v>140</v>
      </c>
      <c r="O38" s="350">
        <v>140</v>
      </c>
      <c r="P38" s="350">
        <v>150</v>
      </c>
      <c r="Q38" s="302">
        <v>150</v>
      </c>
      <c r="R38" s="350">
        <v>150</v>
      </c>
      <c r="S38" s="350">
        <v>140</v>
      </c>
      <c r="T38" s="350">
        <v>150</v>
      </c>
      <c r="U38" s="350">
        <v>150</v>
      </c>
      <c r="V38" s="350">
        <v>155</v>
      </c>
      <c r="W38" s="302">
        <v>149</v>
      </c>
      <c r="X38" s="350"/>
      <c r="Y38" s="350">
        <v>145</v>
      </c>
      <c r="Z38" s="350">
        <v>130</v>
      </c>
      <c r="AA38" s="350">
        <v>130</v>
      </c>
      <c r="AB38" s="302">
        <v>137</v>
      </c>
      <c r="AC38" s="350">
        <v>200</v>
      </c>
      <c r="AD38" s="350">
        <v>150</v>
      </c>
      <c r="AE38" s="302">
        <v>150</v>
      </c>
      <c r="AF38" s="896">
        <v>140</v>
      </c>
      <c r="AG38" s="896">
        <f>'PO '!AG38</f>
        <v>120</v>
      </c>
      <c r="AH38" s="811">
        <f>'PO '!AH38</f>
        <v>115</v>
      </c>
      <c r="AI38" s="916"/>
      <c r="AJ38" s="916">
        <v>115</v>
      </c>
      <c r="AK38" s="294">
        <f>(AJ38-AH38)/AH38</f>
        <v>0</v>
      </c>
    </row>
    <row r="39" spans="1:38" ht="14.25" x14ac:dyDescent="0.2">
      <c r="A39" s="34" t="s">
        <v>3</v>
      </c>
      <c r="B39" s="35">
        <v>205</v>
      </c>
      <c r="C39" s="35">
        <v>83.7</v>
      </c>
      <c r="D39" s="35">
        <v>83.91</v>
      </c>
      <c r="E39" s="35">
        <v>74</v>
      </c>
      <c r="F39" s="35">
        <v>156.453</v>
      </c>
      <c r="G39" s="35">
        <v>160</v>
      </c>
      <c r="H39" s="35">
        <v>156.453</v>
      </c>
      <c r="I39" s="35">
        <v>170</v>
      </c>
      <c r="J39" s="35">
        <v>140</v>
      </c>
      <c r="K39" s="35">
        <v>235</v>
      </c>
      <c r="L39" s="349">
        <v>232</v>
      </c>
      <c r="M39" s="350">
        <v>75</v>
      </c>
      <c r="N39" s="350">
        <v>35</v>
      </c>
      <c r="O39" s="350">
        <v>35</v>
      </c>
      <c r="P39" s="350">
        <v>60</v>
      </c>
      <c r="Q39" s="302">
        <v>59</v>
      </c>
      <c r="R39" s="350">
        <v>75</v>
      </c>
      <c r="S39" s="350">
        <v>60</v>
      </c>
      <c r="T39" s="350">
        <v>40</v>
      </c>
      <c r="U39" s="350">
        <v>45</v>
      </c>
      <c r="V39" s="350">
        <v>45</v>
      </c>
      <c r="W39" s="302">
        <v>45</v>
      </c>
      <c r="X39" s="350"/>
      <c r="Y39" s="350">
        <v>45</v>
      </c>
      <c r="Z39" s="350">
        <v>35</v>
      </c>
      <c r="AA39" s="350">
        <v>30</v>
      </c>
      <c r="AB39" s="302">
        <v>36</v>
      </c>
      <c r="AC39" s="350">
        <v>50</v>
      </c>
      <c r="AD39" s="350">
        <v>80</v>
      </c>
      <c r="AE39" s="302">
        <v>130</v>
      </c>
      <c r="AF39" s="896">
        <v>150</v>
      </c>
      <c r="AG39" s="896">
        <f>'PO '!AG39</f>
        <v>180</v>
      </c>
      <c r="AH39" s="811">
        <f>'PO '!AH39</f>
        <v>220</v>
      </c>
      <c r="AI39" s="916"/>
      <c r="AJ39" s="916">
        <v>130</v>
      </c>
      <c r="AK39" s="294">
        <f>(AJ39-AH39)/AH39</f>
        <v>-0.40909090909090912</v>
      </c>
    </row>
    <row r="40" spans="1:38" ht="18.75" thickBot="1" x14ac:dyDescent="0.3">
      <c r="A40" s="37" t="s">
        <v>74</v>
      </c>
      <c r="B40" s="83">
        <v>965</v>
      </c>
      <c r="C40" s="83">
        <v>525.66399999999999</v>
      </c>
      <c r="D40" s="83">
        <v>384.31200000000001</v>
      </c>
      <c r="E40" s="83">
        <v>471.00900000000001</v>
      </c>
      <c r="F40" s="83">
        <v>846.33</v>
      </c>
      <c r="G40" s="83">
        <v>865</v>
      </c>
      <c r="H40" s="83">
        <v>846.33</v>
      </c>
      <c r="I40" s="83">
        <v>570</v>
      </c>
      <c r="J40" s="83">
        <v>550</v>
      </c>
      <c r="K40" s="83">
        <v>575</v>
      </c>
      <c r="L40" s="354">
        <v>559</v>
      </c>
      <c r="M40" s="337">
        <v>480</v>
      </c>
      <c r="N40" s="337">
        <v>445</v>
      </c>
      <c r="O40" s="337">
        <v>420</v>
      </c>
      <c r="P40" s="337">
        <v>450</v>
      </c>
      <c r="Q40" s="337">
        <v>444</v>
      </c>
      <c r="R40" s="337">
        <v>485</v>
      </c>
      <c r="S40" s="337">
        <v>435</v>
      </c>
      <c r="T40" s="337">
        <v>420</v>
      </c>
      <c r="U40" s="337">
        <v>425</v>
      </c>
      <c r="V40" s="337">
        <v>430</v>
      </c>
      <c r="W40" s="337">
        <v>420</v>
      </c>
      <c r="X40" s="337">
        <v>0</v>
      </c>
      <c r="Y40" s="337">
        <v>410</v>
      </c>
      <c r="Z40" s="337">
        <v>385</v>
      </c>
      <c r="AA40" s="337">
        <v>365</v>
      </c>
      <c r="AB40" s="337">
        <v>375</v>
      </c>
      <c r="AC40" s="337">
        <v>520</v>
      </c>
      <c r="AD40" s="337">
        <v>490</v>
      </c>
      <c r="AE40" s="337">
        <v>492</v>
      </c>
      <c r="AF40" s="800">
        <f>AF31+AF37</f>
        <v>492</v>
      </c>
      <c r="AG40" s="800">
        <f>AG31+AG37</f>
        <v>502</v>
      </c>
      <c r="AH40" s="800">
        <f>AH31+AH37</f>
        <v>530</v>
      </c>
      <c r="AI40" s="800">
        <f>AI31+AI37</f>
        <v>0</v>
      </c>
      <c r="AJ40" s="800">
        <f>AJ31+AJ37</f>
        <v>440</v>
      </c>
      <c r="AK40" s="338">
        <f>(AJ40-AH40)/AH40</f>
        <v>-0.16981132075471697</v>
      </c>
    </row>
    <row r="41" spans="1:38" ht="15.75" thickTop="1" thickBot="1" x14ac:dyDescent="0.25">
      <c r="A41" s="84"/>
      <c r="B41" s="85"/>
      <c r="C41" s="86"/>
      <c r="D41" s="85"/>
      <c r="E41" s="85"/>
      <c r="F41" s="87"/>
      <c r="G41" s="85"/>
      <c r="H41" s="85"/>
      <c r="I41" s="85"/>
      <c r="J41" s="85"/>
      <c r="K41" s="85"/>
      <c r="L41" s="355"/>
      <c r="M41" s="356"/>
      <c r="N41" s="356"/>
      <c r="O41" s="356"/>
      <c r="P41" s="356"/>
      <c r="Q41" s="356"/>
      <c r="R41" s="356"/>
      <c r="S41" s="356"/>
      <c r="T41" s="356"/>
      <c r="U41" s="356"/>
      <c r="V41" s="356"/>
      <c r="W41" s="356"/>
      <c r="X41" s="357"/>
      <c r="Y41" s="356"/>
      <c r="Z41" s="356"/>
      <c r="AA41" s="356"/>
      <c r="AB41" s="356"/>
      <c r="AC41" s="356"/>
      <c r="AD41" s="356"/>
      <c r="AE41" s="356"/>
      <c r="AF41" s="805"/>
      <c r="AG41" s="805"/>
      <c r="AH41" s="805"/>
      <c r="AI41" s="805"/>
      <c r="AJ41" s="805"/>
      <c r="AK41" s="294"/>
    </row>
    <row r="42" spans="1:38" ht="21.75" thickTop="1" x14ac:dyDescent="0.25">
      <c r="A42" s="88" t="s">
        <v>186</v>
      </c>
      <c r="B42" s="89">
        <v>77</v>
      </c>
      <c r="C42" s="89">
        <v>60.336000000000013</v>
      </c>
      <c r="D42" s="89">
        <v>44.85</v>
      </c>
      <c r="E42" s="89">
        <v>34.231999999999999</v>
      </c>
      <c r="F42" s="89">
        <v>83.088999999999999</v>
      </c>
      <c r="G42" s="89">
        <v>77.231999999999971</v>
      </c>
      <c r="H42" s="89">
        <v>83.088999999999999</v>
      </c>
      <c r="I42" s="89">
        <v>61.41</v>
      </c>
      <c r="J42" s="89">
        <v>73.650000000000006</v>
      </c>
      <c r="K42" s="89">
        <v>48.65</v>
      </c>
      <c r="L42" s="354">
        <v>50</v>
      </c>
      <c r="M42" s="337">
        <v>47</v>
      </c>
      <c r="N42" s="337">
        <v>71.199999999999932</v>
      </c>
      <c r="O42" s="337">
        <v>95</v>
      </c>
      <c r="P42" s="337">
        <v>58</v>
      </c>
      <c r="Q42" s="337">
        <v>58</v>
      </c>
      <c r="R42" s="337">
        <v>47.64</v>
      </c>
      <c r="S42" s="337">
        <v>56</v>
      </c>
      <c r="T42" s="337">
        <v>37</v>
      </c>
      <c r="U42" s="337">
        <v>29</v>
      </c>
      <c r="V42" s="337">
        <v>36</v>
      </c>
      <c r="W42" s="337">
        <v>45</v>
      </c>
      <c r="X42" s="337">
        <v>36</v>
      </c>
      <c r="Y42" s="337">
        <v>59</v>
      </c>
      <c r="Z42" s="337">
        <v>77</v>
      </c>
      <c r="AA42" s="337">
        <v>88</v>
      </c>
      <c r="AB42" s="337">
        <v>65</v>
      </c>
      <c r="AC42" s="337">
        <v>86</v>
      </c>
      <c r="AD42" s="337">
        <v>71.79200000000003</v>
      </c>
      <c r="AE42" s="337">
        <v>56</v>
      </c>
      <c r="AF42" s="800">
        <f>AF27-AF40</f>
        <v>60</v>
      </c>
      <c r="AG42" s="800">
        <f>AG27-AG40</f>
        <v>63</v>
      </c>
      <c r="AH42" s="800">
        <f>AH27-AH40</f>
        <v>81.658000000000015</v>
      </c>
      <c r="AI42" s="800">
        <f>AI27-AI40</f>
        <v>63</v>
      </c>
      <c r="AJ42" s="800">
        <f>AJ27-AJ40</f>
        <v>96.73473686189709</v>
      </c>
      <c r="AK42" s="338">
        <f>(AJ42-AH42)/AH42</f>
        <v>0.18463269810547739</v>
      </c>
    </row>
    <row r="43" spans="1:38" ht="14.25" x14ac:dyDescent="0.2">
      <c r="A43" s="34" t="s">
        <v>11</v>
      </c>
      <c r="B43" s="35"/>
      <c r="C43" s="35">
        <v>53.923000000000002</v>
      </c>
      <c r="D43" s="35">
        <v>41.9</v>
      </c>
      <c r="E43" s="35">
        <v>31.405000000000001</v>
      </c>
      <c r="F43" s="35">
        <v>77.326999999999998</v>
      </c>
      <c r="G43" s="35"/>
      <c r="H43" s="35">
        <v>77.326999999999998</v>
      </c>
      <c r="I43" s="35"/>
      <c r="J43" s="35"/>
      <c r="K43" s="35">
        <v>47</v>
      </c>
      <c r="L43" s="349">
        <v>47</v>
      </c>
      <c r="M43" s="350"/>
      <c r="N43" s="350"/>
      <c r="O43" s="350"/>
      <c r="P43" s="350">
        <v>58</v>
      </c>
      <c r="Q43" s="302">
        <v>58</v>
      </c>
      <c r="R43" s="350"/>
      <c r="S43" s="350"/>
      <c r="T43" s="350"/>
      <c r="U43" s="350"/>
      <c r="V43" s="350">
        <v>36</v>
      </c>
      <c r="W43" s="302">
        <v>36</v>
      </c>
      <c r="X43" s="350"/>
      <c r="Y43" s="350"/>
      <c r="Z43" s="350"/>
      <c r="AA43" s="350"/>
      <c r="AB43" s="302">
        <v>57</v>
      </c>
      <c r="AC43" s="350"/>
      <c r="AD43" s="350"/>
      <c r="AE43" s="350"/>
      <c r="AF43" s="907"/>
      <c r="AG43" s="907"/>
      <c r="AH43" s="820"/>
      <c r="AI43" s="926"/>
      <c r="AJ43" s="926"/>
      <c r="AK43" s="702"/>
      <c r="AL43" s="31"/>
    </row>
    <row r="44" spans="1:38" ht="14.25" x14ac:dyDescent="0.2">
      <c r="A44" s="606" t="s">
        <v>12</v>
      </c>
      <c r="B44" s="698"/>
      <c r="C44" s="698">
        <v>5.6639999999999997</v>
      </c>
      <c r="D44" s="698">
        <v>2.95</v>
      </c>
      <c r="E44" s="698">
        <v>2.827</v>
      </c>
      <c r="F44" s="698">
        <v>5.7619999999999996</v>
      </c>
      <c r="G44" s="698"/>
      <c r="H44" s="698">
        <v>5.7619999999999996</v>
      </c>
      <c r="I44" s="698"/>
      <c r="J44" s="698"/>
      <c r="K44" s="698">
        <v>3</v>
      </c>
      <c r="L44" s="699">
        <v>3</v>
      </c>
      <c r="M44" s="700"/>
      <c r="N44" s="700"/>
      <c r="O44" s="700"/>
      <c r="P44" s="700">
        <v>3</v>
      </c>
      <c r="Q44" s="701">
        <v>3</v>
      </c>
      <c r="R44" s="700"/>
      <c r="S44" s="700"/>
      <c r="T44" s="700"/>
      <c r="U44" s="700"/>
      <c r="V44" s="700">
        <v>2</v>
      </c>
      <c r="W44" s="701">
        <v>2</v>
      </c>
      <c r="X44" s="700"/>
      <c r="Y44" s="700"/>
      <c r="Z44" s="700"/>
      <c r="AA44" s="700"/>
      <c r="AB44" s="701">
        <v>2</v>
      </c>
      <c r="AC44" s="700"/>
      <c r="AD44" s="700"/>
      <c r="AE44" s="700"/>
      <c r="AF44" s="908"/>
      <c r="AG44" s="908"/>
      <c r="AH44" s="821"/>
      <c r="AI44" s="927"/>
      <c r="AJ44" s="927"/>
      <c r="AK44" s="703"/>
      <c r="AL44" s="31"/>
    </row>
    <row r="45" spans="1:38" x14ac:dyDescent="0.2">
      <c r="A45" s="707" t="s">
        <v>177</v>
      </c>
    </row>
    <row r="46" spans="1:38" ht="14.25" x14ac:dyDescent="0.2">
      <c r="A46" s="709" t="s">
        <v>184</v>
      </c>
    </row>
    <row r="47" spans="1:38" ht="14.25" x14ac:dyDescent="0.2">
      <c r="A47" s="709" t="s">
        <v>187</v>
      </c>
    </row>
    <row r="48" spans="1:38" ht="14.25" x14ac:dyDescent="0.2">
      <c r="A48" s="965" t="s">
        <v>211</v>
      </c>
    </row>
    <row r="51" spans="1:31" s="749" customFormat="1" x14ac:dyDescent="0.2">
      <c r="A51" s="749" t="s">
        <v>46</v>
      </c>
      <c r="B51" s="749">
        <f>B20+B21+B24-B31-B37-B42</f>
        <v>0</v>
      </c>
      <c r="C51" s="749">
        <f>C20+C21+C24-C31-C37-C42</f>
        <v>0</v>
      </c>
      <c r="D51" s="749">
        <f>D20+D21+D24-D31-D37-D42</f>
        <v>0.17400000000002791</v>
      </c>
      <c r="E51" s="750">
        <f>E20+E21+E23+E24-E31-E37-E42</f>
        <v>-0.46099999999995589</v>
      </c>
      <c r="F51" s="749">
        <f>F20+F21+F24-F31-F37-F42</f>
        <v>-1.999999999998181E-2</v>
      </c>
      <c r="G51" s="749">
        <f>G20+G21+G24-G31-G37-G42</f>
        <v>0</v>
      </c>
      <c r="H51" s="749">
        <f>H20+H21+H24-H31-H37-H42</f>
        <v>-1.999999999998181E-2</v>
      </c>
      <c r="I51" s="749">
        <f>I20+I21+I24-I31-I37-I42</f>
        <v>0</v>
      </c>
      <c r="J51" s="749">
        <f>J20+J21+J24-J31-J37-J42</f>
        <v>0</v>
      </c>
      <c r="K51" s="749">
        <f>K20+K21+K23+K24-K31-K37-K42</f>
        <v>-0.64999999999999858</v>
      </c>
      <c r="L51" s="749">
        <f t="shared" ref="L51:AE51" si="5">L20+L21+L24-L31-L37-L42</f>
        <v>0</v>
      </c>
      <c r="M51" s="749">
        <f t="shared" si="5"/>
        <v>0</v>
      </c>
      <c r="N51" s="750">
        <f t="shared" si="5"/>
        <v>1.1368683772161603E-13</v>
      </c>
      <c r="O51" s="749">
        <f t="shared" si="5"/>
        <v>0</v>
      </c>
      <c r="P51" s="749">
        <f t="shared" si="5"/>
        <v>0</v>
      </c>
      <c r="Q51" s="749">
        <f t="shared" si="5"/>
        <v>0</v>
      </c>
      <c r="R51" s="749">
        <f t="shared" si="5"/>
        <v>0</v>
      </c>
      <c r="S51" s="749">
        <f t="shared" si="5"/>
        <v>0</v>
      </c>
      <c r="T51" s="749">
        <f t="shared" si="5"/>
        <v>0</v>
      </c>
      <c r="U51" s="749">
        <f t="shared" si="5"/>
        <v>0</v>
      </c>
      <c r="V51" s="749">
        <f t="shared" si="5"/>
        <v>0</v>
      </c>
      <c r="W51" s="749">
        <f t="shared" si="5"/>
        <v>0</v>
      </c>
      <c r="X51" s="749">
        <f t="shared" si="5"/>
        <v>0</v>
      </c>
      <c r="Y51" s="749">
        <f t="shared" si="5"/>
        <v>0</v>
      </c>
      <c r="Z51" s="749">
        <f t="shared" si="5"/>
        <v>0</v>
      </c>
      <c r="AA51" s="749">
        <f t="shared" si="5"/>
        <v>0</v>
      </c>
      <c r="AB51" s="749">
        <f t="shared" si="5"/>
        <v>0</v>
      </c>
      <c r="AC51" s="749">
        <f t="shared" si="5"/>
        <v>0</v>
      </c>
      <c r="AD51" s="749">
        <f t="shared" si="5"/>
        <v>0</v>
      </c>
      <c r="AE51" s="749">
        <f t="shared" si="5"/>
        <v>0</v>
      </c>
    </row>
  </sheetData>
  <phoneticPr fontId="3" type="noConversion"/>
  <pageMargins left="0.78740157499999996" right="0.78740157499999996" top="0.984251969" bottom="0.984251969" header="0.4921259845" footer="0.4921259845"/>
  <pageSetup paperSize="9" scale="54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R52"/>
  <sheetViews>
    <sheetView showGridLines="0" zoomScaleNormal="100" zoomScaleSheetLayoutView="110" workbookViewId="0">
      <pane ySplit="3" topLeftCell="A4" activePane="bottomLeft" state="frozen"/>
      <selection pane="bottomLeft" activeCell="AW9" sqref="AW9"/>
    </sheetView>
  </sheetViews>
  <sheetFormatPr baseColWidth="10" defaultRowHeight="12.75" outlineLevelCol="3" x14ac:dyDescent="0.2"/>
  <cols>
    <col min="1" max="1" width="47.5703125" customWidth="1"/>
    <col min="2" max="2" width="12.42578125" hidden="1" customWidth="1" outlineLevel="2"/>
    <col min="3" max="3" width="12.5703125" hidden="1" customWidth="1" outlineLevel="2"/>
    <col min="4" max="5" width="13.42578125" hidden="1" customWidth="1" outlineLevel="2"/>
    <col min="6" max="6" width="15.140625" hidden="1" customWidth="1" outlineLevel="3"/>
    <col min="7" max="7" width="12.5703125" hidden="1" customWidth="1" outlineLevel="3"/>
    <col min="8" max="8" width="12.42578125" hidden="1" customWidth="1" outlineLevel="2" collapsed="1"/>
    <col min="9" max="10" width="15.85546875" hidden="1" customWidth="1" outlineLevel="3"/>
    <col min="11" max="11" width="11.42578125" hidden="1" customWidth="1" outlineLevel="3"/>
    <col min="12" max="12" width="13.7109375" hidden="1" customWidth="1" outlineLevel="2" collapsed="1"/>
    <col min="13" max="13" width="14.140625" hidden="1" customWidth="1" outlineLevel="1" collapsed="1"/>
    <col min="14" max="14" width="14" hidden="1" customWidth="1" outlineLevel="1"/>
    <col min="15" max="16" width="11.42578125" hidden="1" customWidth="1" outlineLevel="1"/>
    <col min="17" max="17" width="13.7109375" hidden="1" customWidth="1" collapsed="1"/>
    <col min="18" max="22" width="11.42578125" hidden="1" customWidth="1" outlineLevel="1"/>
    <col min="23" max="23" width="13.7109375" hidden="1" customWidth="1" collapsed="1"/>
    <col min="24" max="24" width="32.42578125" hidden="1" customWidth="1" outlineLevel="1"/>
    <col min="25" max="25" width="31" hidden="1" customWidth="1" outlineLevel="1"/>
    <col min="26" max="26" width="30.28515625" hidden="1" customWidth="1" outlineLevel="1"/>
    <col min="27" max="27" width="22.7109375" hidden="1" customWidth="1" outlineLevel="1"/>
    <col min="28" max="28" width="13.7109375" customWidth="1" collapsed="1"/>
    <col min="29" max="30" width="24.140625" hidden="1" customWidth="1" outlineLevel="1"/>
    <col min="31" max="34" width="13.28515625" hidden="1" customWidth="1" outlineLevel="1"/>
    <col min="35" max="35" width="13.7109375" customWidth="1" collapsed="1"/>
    <col min="36" max="36" width="13.28515625" hidden="1" customWidth="1" outlineLevel="1"/>
    <col min="37" max="38" width="13.7109375" hidden="1" customWidth="1" outlineLevel="1"/>
    <col min="39" max="39" width="13.28515625" hidden="1" customWidth="1" outlineLevel="1"/>
    <col min="40" max="40" width="13.7109375" customWidth="1" collapsed="1"/>
    <col min="41" max="42" width="13.7109375" customWidth="1"/>
  </cols>
  <sheetData>
    <row r="1" spans="1:44" ht="60" customHeight="1" x14ac:dyDescent="0.2">
      <c r="A1" s="755"/>
      <c r="B1" s="755"/>
      <c r="C1" s="755"/>
      <c r="D1" s="755"/>
      <c r="E1" s="755"/>
      <c r="F1" s="755"/>
      <c r="G1" s="755"/>
      <c r="H1" s="755"/>
      <c r="I1" s="755"/>
      <c r="J1" s="755"/>
      <c r="K1" s="755"/>
      <c r="L1" s="755"/>
      <c r="M1" s="755"/>
      <c r="N1" s="755"/>
      <c r="O1" s="755"/>
      <c r="P1" s="755"/>
      <c r="Q1" s="755"/>
      <c r="R1" s="755"/>
      <c r="S1" s="755"/>
      <c r="T1" s="755"/>
      <c r="U1" s="755"/>
      <c r="V1" s="755"/>
      <c r="W1" s="755"/>
      <c r="X1" s="755"/>
      <c r="Y1" s="755"/>
      <c r="Z1" s="755"/>
      <c r="AA1" s="755"/>
      <c r="AB1" s="755"/>
      <c r="AC1" s="755"/>
      <c r="AD1" s="755"/>
      <c r="AE1" s="755"/>
      <c r="AF1" s="755"/>
      <c r="AG1" s="755"/>
      <c r="AH1" s="755"/>
      <c r="AI1" s="755"/>
      <c r="AJ1" s="755"/>
      <c r="AK1" s="755"/>
      <c r="AL1" s="755"/>
      <c r="AM1" s="755"/>
      <c r="AN1" s="755"/>
      <c r="AO1" s="755"/>
      <c r="AP1" s="755"/>
    </row>
    <row r="2" spans="1:44" ht="20.25" customHeight="1" x14ac:dyDescent="0.3">
      <c r="A2" s="405" t="s">
        <v>47</v>
      </c>
      <c r="B2" s="406" t="s">
        <v>28</v>
      </c>
      <c r="C2" s="406" t="s">
        <v>75</v>
      </c>
      <c r="D2" s="406" t="s">
        <v>76</v>
      </c>
      <c r="E2" s="406" t="s">
        <v>108</v>
      </c>
      <c r="F2" s="406" t="s">
        <v>62</v>
      </c>
      <c r="G2" s="407" t="s">
        <v>64</v>
      </c>
      <c r="H2" s="1133" t="s">
        <v>80</v>
      </c>
      <c r="I2" s="1133" t="s">
        <v>114</v>
      </c>
      <c r="J2" s="1133" t="s">
        <v>81</v>
      </c>
      <c r="K2" s="1133" t="s">
        <v>81</v>
      </c>
      <c r="L2" s="1133" t="s">
        <v>48</v>
      </c>
      <c r="M2" s="1133" t="s">
        <v>40</v>
      </c>
      <c r="N2" s="1133" t="s">
        <v>70</v>
      </c>
      <c r="O2" s="1570" t="s">
        <v>70</v>
      </c>
      <c r="P2" s="1133" t="s">
        <v>40</v>
      </c>
      <c r="Q2" s="1133" t="s">
        <v>49</v>
      </c>
      <c r="R2" s="1133" t="s">
        <v>94</v>
      </c>
      <c r="S2" s="1133" t="s">
        <v>94</v>
      </c>
      <c r="T2" s="1133" t="s">
        <v>94</v>
      </c>
      <c r="U2" s="1133" t="s">
        <v>94</v>
      </c>
      <c r="V2" s="1133" t="s">
        <v>94</v>
      </c>
      <c r="W2" s="1133" t="s">
        <v>50</v>
      </c>
      <c r="X2" s="1133"/>
      <c r="Y2" s="1133"/>
      <c r="Z2" s="1133"/>
      <c r="AA2" s="1133"/>
      <c r="AB2" s="1134" t="s">
        <v>51</v>
      </c>
      <c r="AC2" s="1134" t="s">
        <v>52</v>
      </c>
      <c r="AD2" s="1134" t="s">
        <v>52</v>
      </c>
      <c r="AE2" s="1134" t="s">
        <v>52</v>
      </c>
      <c r="AF2" s="1134" t="s">
        <v>52</v>
      </c>
      <c r="AG2" s="1134" t="s">
        <v>52</v>
      </c>
      <c r="AH2" s="1134" t="s">
        <v>154</v>
      </c>
      <c r="AI2" s="1134" t="s">
        <v>154</v>
      </c>
      <c r="AJ2" s="1134" t="s">
        <v>203</v>
      </c>
      <c r="AK2" s="1134" t="s">
        <v>203</v>
      </c>
      <c r="AL2" s="1134" t="s">
        <v>203</v>
      </c>
      <c r="AM2" s="1134" t="s">
        <v>203</v>
      </c>
      <c r="AN2" s="1134" t="s">
        <v>203</v>
      </c>
      <c r="AO2" s="1134" t="s">
        <v>203</v>
      </c>
      <c r="AP2" s="1134" t="s">
        <v>250</v>
      </c>
      <c r="AQ2" s="1135" t="s">
        <v>53</v>
      </c>
    </row>
    <row r="3" spans="1:44" ht="20.25" customHeight="1" x14ac:dyDescent="0.2">
      <c r="A3" s="246"/>
      <c r="B3" s="247"/>
      <c r="C3" s="247"/>
      <c r="D3" s="247"/>
      <c r="E3" s="247"/>
      <c r="F3" s="247" t="s">
        <v>66</v>
      </c>
      <c r="G3" s="247" t="s">
        <v>65</v>
      </c>
      <c r="H3" s="1136"/>
      <c r="I3" s="1136" t="s">
        <v>63</v>
      </c>
      <c r="J3" s="1136" t="s">
        <v>68</v>
      </c>
      <c r="K3" s="1136" t="s">
        <v>72</v>
      </c>
      <c r="L3" s="1136"/>
      <c r="M3" s="1136" t="s">
        <v>69</v>
      </c>
      <c r="N3" s="1136" t="s">
        <v>71</v>
      </c>
      <c r="O3" s="1136" t="s">
        <v>253</v>
      </c>
      <c r="P3" s="1136" t="s">
        <v>254</v>
      </c>
      <c r="Q3" s="1136"/>
      <c r="R3" s="1571" t="s">
        <v>255</v>
      </c>
      <c r="S3" s="1137" t="s">
        <v>256</v>
      </c>
      <c r="T3" s="1571" t="s">
        <v>257</v>
      </c>
      <c r="U3" s="1571" t="s">
        <v>258</v>
      </c>
      <c r="V3" s="1571" t="s">
        <v>259</v>
      </c>
      <c r="W3" s="1136"/>
      <c r="X3" s="1137" t="s">
        <v>33</v>
      </c>
      <c r="Y3" s="1137" t="s">
        <v>35</v>
      </c>
      <c r="Z3" s="1137" t="s">
        <v>36</v>
      </c>
      <c r="AA3" s="1137" t="s">
        <v>43</v>
      </c>
      <c r="AB3" s="1138"/>
      <c r="AC3" s="1137" t="s">
        <v>38</v>
      </c>
      <c r="AD3" s="1137" t="s">
        <v>41</v>
      </c>
      <c r="AE3" s="1138" t="s">
        <v>156</v>
      </c>
      <c r="AF3" s="1138" t="s">
        <v>190</v>
      </c>
      <c r="AG3" s="1138" t="s">
        <v>198</v>
      </c>
      <c r="AH3" s="1138" t="s">
        <v>207</v>
      </c>
      <c r="AI3" s="1138" t="s">
        <v>229</v>
      </c>
      <c r="AJ3" s="1138" t="s">
        <v>207</v>
      </c>
      <c r="AK3" s="1138" t="s">
        <v>239</v>
      </c>
      <c r="AL3" s="1138" t="s">
        <v>240</v>
      </c>
      <c r="AM3" s="1138" t="s">
        <v>242</v>
      </c>
      <c r="AN3" s="1138" t="s">
        <v>261</v>
      </c>
      <c r="AO3" s="1138" t="s">
        <v>252</v>
      </c>
      <c r="AP3" s="1138" t="s">
        <v>264</v>
      </c>
      <c r="AQ3" s="1139"/>
    </row>
    <row r="4" spans="1:44" ht="20.25" customHeight="1" x14ac:dyDescent="0.2">
      <c r="A4" s="249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378"/>
      <c r="M4" s="144"/>
      <c r="N4" s="144"/>
      <c r="O4" s="144"/>
      <c r="P4" s="144"/>
      <c r="Q4" s="145"/>
      <c r="R4" s="144"/>
      <c r="S4" s="144"/>
      <c r="T4" s="144"/>
      <c r="U4" s="144"/>
      <c r="V4" s="144"/>
      <c r="W4" s="145"/>
      <c r="X4" s="144"/>
      <c r="Y4" s="144"/>
      <c r="Z4" s="144"/>
      <c r="AA4" s="144"/>
      <c r="AB4" s="146"/>
      <c r="AC4" s="144"/>
      <c r="AD4" s="144"/>
      <c r="AE4" s="146"/>
      <c r="AF4" s="822"/>
      <c r="AG4" s="822"/>
      <c r="AH4" s="822"/>
      <c r="AI4" s="822"/>
      <c r="AJ4" s="822"/>
      <c r="AK4" s="1467"/>
      <c r="AL4" s="1467"/>
      <c r="AM4" s="822"/>
      <c r="AN4" s="1710"/>
      <c r="AO4" s="1515"/>
      <c r="AP4" s="1515"/>
      <c r="AQ4" s="1610"/>
    </row>
    <row r="5" spans="1:44" x14ac:dyDescent="0.2">
      <c r="A5" s="251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379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823"/>
      <c r="AG5" s="823"/>
      <c r="AH5" s="823"/>
      <c r="AI5" s="823"/>
      <c r="AJ5" s="823"/>
      <c r="AK5" s="1468"/>
      <c r="AL5" s="1468"/>
      <c r="AM5" s="823"/>
      <c r="AN5" s="1711"/>
      <c r="AO5" s="1521"/>
      <c r="AP5" s="1521"/>
      <c r="AQ5" s="1610"/>
    </row>
    <row r="6" spans="1:44" ht="21.75" customHeight="1" x14ac:dyDescent="0.25">
      <c r="A6" s="253" t="s">
        <v>1</v>
      </c>
      <c r="B6" s="153"/>
      <c r="C6" s="153"/>
      <c r="D6" s="153"/>
      <c r="E6" s="153"/>
      <c r="F6" s="154"/>
      <c r="G6" s="153"/>
      <c r="H6" s="380"/>
      <c r="I6" s="153"/>
      <c r="J6" s="153"/>
      <c r="K6" s="232"/>
      <c r="L6" s="380"/>
      <c r="M6" s="153" t="s">
        <v>54</v>
      </c>
      <c r="N6" s="153" t="s">
        <v>54</v>
      </c>
      <c r="O6" s="153" t="s">
        <v>54</v>
      </c>
      <c r="P6" s="153" t="s">
        <v>54</v>
      </c>
      <c r="Q6" s="155"/>
      <c r="R6" s="155" t="s">
        <v>54</v>
      </c>
      <c r="S6" s="155" t="s">
        <v>54</v>
      </c>
      <c r="T6" s="156"/>
      <c r="U6" s="156"/>
      <c r="V6" s="156"/>
      <c r="W6" s="155"/>
      <c r="X6" s="156"/>
      <c r="Y6" s="156"/>
      <c r="Z6" s="156"/>
      <c r="AA6" s="156"/>
      <c r="AB6" s="155"/>
      <c r="AC6" s="155" t="s">
        <v>55</v>
      </c>
      <c r="AD6" s="155" t="s">
        <v>55</v>
      </c>
      <c r="AE6" s="155"/>
      <c r="AF6" s="155"/>
      <c r="AG6" s="155"/>
      <c r="AH6" s="848"/>
      <c r="AI6" s="848"/>
      <c r="AJ6" s="848"/>
      <c r="AK6" s="1344"/>
      <c r="AL6" s="1344"/>
      <c r="AM6" s="848"/>
      <c r="AN6" s="1624"/>
      <c r="AO6" s="155"/>
      <c r="AP6" s="155"/>
      <c r="AQ6" s="1609"/>
    </row>
    <row r="7" spans="1:44" s="4" customFormat="1" ht="12.75" customHeight="1" x14ac:dyDescent="0.25">
      <c r="A7" s="255"/>
      <c r="B7" s="157"/>
      <c r="C7" s="157"/>
      <c r="D7" s="157"/>
      <c r="E7" s="157"/>
      <c r="F7" s="158"/>
      <c r="G7" s="157"/>
      <c r="H7" s="381"/>
      <c r="I7" s="157"/>
      <c r="J7" s="157"/>
      <c r="K7" s="233"/>
      <c r="L7" s="381"/>
      <c r="M7" s="160"/>
      <c r="N7" s="160"/>
      <c r="O7" s="160"/>
      <c r="P7" s="160"/>
      <c r="Q7" s="159"/>
      <c r="R7" s="161"/>
      <c r="S7" s="161"/>
      <c r="T7" s="162"/>
      <c r="U7" s="162"/>
      <c r="V7" s="162"/>
      <c r="W7" s="159"/>
      <c r="X7" s="162"/>
      <c r="Y7" s="162"/>
      <c r="Z7" s="162"/>
      <c r="AA7" s="162"/>
      <c r="AB7" s="997"/>
      <c r="AC7" s="161"/>
      <c r="AD7" s="161"/>
      <c r="AE7" s="1516"/>
      <c r="AF7" s="1572"/>
      <c r="AG7" s="1572"/>
      <c r="AH7" s="997"/>
      <c r="AI7" s="997"/>
      <c r="AJ7" s="997" t="s">
        <v>210</v>
      </c>
      <c r="AK7" s="1362"/>
      <c r="AL7" s="1362"/>
      <c r="AM7" s="997"/>
      <c r="AN7" s="1655"/>
      <c r="AO7" s="1516"/>
      <c r="AP7" s="1516"/>
      <c r="AQ7" s="1608"/>
      <c r="AR7" s="1541"/>
    </row>
    <row r="8" spans="1:44" ht="15" x14ac:dyDescent="0.25">
      <c r="A8" s="256" t="s">
        <v>57</v>
      </c>
      <c r="B8" s="1192">
        <v>78.001999999999995</v>
      </c>
      <c r="C8" s="1192">
        <v>53.697000000000003</v>
      </c>
      <c r="D8" s="1192">
        <v>60.866999999999997</v>
      </c>
      <c r="E8" s="1192">
        <v>88.305999999999997</v>
      </c>
      <c r="F8" s="163">
        <v>131</v>
      </c>
      <c r="G8" s="163">
        <v>150</v>
      </c>
      <c r="H8" s="1185">
        <v>151.34200000000001</v>
      </c>
      <c r="I8" s="163">
        <v>92.058999999999997</v>
      </c>
      <c r="J8" s="163">
        <v>91.448999999999998</v>
      </c>
      <c r="K8" s="358">
        <v>92</v>
      </c>
      <c r="L8" s="1185">
        <v>91.429000000000002</v>
      </c>
      <c r="M8" s="165">
        <v>61</v>
      </c>
      <c r="N8" s="165">
        <v>61</v>
      </c>
      <c r="O8" s="165">
        <v>64</v>
      </c>
      <c r="P8" s="165">
        <v>60</v>
      </c>
      <c r="Q8" s="1284">
        <v>60.34</v>
      </c>
      <c r="R8" s="1285">
        <v>63</v>
      </c>
      <c r="S8" s="1285">
        <v>67</v>
      </c>
      <c r="T8" s="1285">
        <v>68</v>
      </c>
      <c r="U8" s="1285">
        <v>68</v>
      </c>
      <c r="V8" s="1285">
        <v>71</v>
      </c>
      <c r="W8" s="1284">
        <v>67.945999999999998</v>
      </c>
      <c r="X8" s="1285">
        <v>71</v>
      </c>
      <c r="Y8" s="1285">
        <v>77</v>
      </c>
      <c r="Z8" s="1285">
        <v>76</v>
      </c>
      <c r="AA8" s="1285">
        <v>75</v>
      </c>
      <c r="AB8" s="1284">
        <v>74.884</v>
      </c>
      <c r="AC8" s="1285">
        <v>85</v>
      </c>
      <c r="AD8" s="1285">
        <v>81</v>
      </c>
      <c r="AE8" s="1284">
        <v>81</v>
      </c>
      <c r="AF8" s="1286">
        <v>87</v>
      </c>
      <c r="AG8" s="1286">
        <v>87</v>
      </c>
      <c r="AH8" s="1286">
        <v>86</v>
      </c>
      <c r="AI8" s="1284">
        <v>87</v>
      </c>
      <c r="AJ8" s="164">
        <v>76.566999999999993</v>
      </c>
      <c r="AK8" s="1469">
        <v>83.41</v>
      </c>
      <c r="AL8" s="1470">
        <v>76.837999999999994</v>
      </c>
      <c r="AM8" s="1329">
        <v>78</v>
      </c>
      <c r="AN8" s="1712">
        <v>77.978000000000023</v>
      </c>
      <c r="AO8" s="1522">
        <v>78</v>
      </c>
      <c r="AP8" s="1522">
        <v>72.677000000000007</v>
      </c>
      <c r="AQ8" s="1619">
        <f>AP8/AO8-1</f>
        <v>-6.8243589743589683E-2</v>
      </c>
      <c r="AR8" s="1341"/>
    </row>
    <row r="9" spans="1:44" ht="15" x14ac:dyDescent="0.25">
      <c r="A9" s="256" t="s">
        <v>58</v>
      </c>
      <c r="B9" s="1188">
        <f t="shared" ref="B9:K9" si="0">IF(B8="","",(B10/B8)*10)</f>
        <v>37.235327299300018</v>
      </c>
      <c r="C9" s="1188">
        <f t="shared" si="0"/>
        <v>45.730673966888276</v>
      </c>
      <c r="D9" s="1188">
        <f t="shared" si="0"/>
        <v>51.526771485369743</v>
      </c>
      <c r="E9" s="1188">
        <f t="shared" si="0"/>
        <v>49.540461576789802</v>
      </c>
      <c r="F9" s="166">
        <f t="shared" si="0"/>
        <v>38.473282442748094</v>
      </c>
      <c r="G9" s="166">
        <f t="shared" si="0"/>
        <v>31.866666666666667</v>
      </c>
      <c r="H9" s="1186">
        <f t="shared" si="0"/>
        <v>31.934426662790237</v>
      </c>
      <c r="I9" s="166">
        <f t="shared" si="0"/>
        <v>38.493792024679827</v>
      </c>
      <c r="J9" s="166">
        <f t="shared" si="0"/>
        <v>37.616923093746244</v>
      </c>
      <c r="K9" s="359">
        <f t="shared" si="0"/>
        <v>37</v>
      </c>
      <c r="L9" s="1186">
        <f>IF(L8="","",(L10/L8)*10)</f>
        <v>37.71669820297717</v>
      </c>
      <c r="M9" s="167">
        <f>M10/M8*10</f>
        <v>47</v>
      </c>
      <c r="N9" s="167">
        <f>IF(N8="","",(N10/N8)*10)</f>
        <v>50</v>
      </c>
      <c r="O9" s="167">
        <f>IF(O8="","",(O10/O8)*10)</f>
        <v>48</v>
      </c>
      <c r="P9" s="167">
        <f>IF(P8="","",(P10/P8)*10)</f>
        <v>45.8</v>
      </c>
      <c r="Q9" s="843">
        <f>IF(Q8="","",(Q10/Q8)*10)</f>
        <v>45.332946635730849</v>
      </c>
      <c r="R9" s="1287">
        <f t="shared" ref="R9:AD9" si="1">IF(R8="","",(R10/R8)*10)</f>
        <v>45</v>
      </c>
      <c r="S9" s="1287">
        <f t="shared" si="1"/>
        <v>40.447761194029852</v>
      </c>
      <c r="T9" s="1287">
        <f t="shared" si="1"/>
        <v>35.441176470588232</v>
      </c>
      <c r="U9" s="1287">
        <f t="shared" si="1"/>
        <v>35.441176470588232</v>
      </c>
      <c r="V9" s="1287">
        <f t="shared" si="1"/>
        <v>35.774647887323944</v>
      </c>
      <c r="W9" s="843">
        <f>IF(W8="","",(W10/W8)*10)</f>
        <v>36.058193271127074</v>
      </c>
      <c r="X9" s="1287">
        <f t="shared" si="1"/>
        <v>40.200000000000003</v>
      </c>
      <c r="Y9" s="1288">
        <f t="shared" si="1"/>
        <v>36.36363636363636</v>
      </c>
      <c r="Z9" s="1288">
        <f t="shared" si="1"/>
        <v>37.10526315789474</v>
      </c>
      <c r="AA9" s="1288">
        <f t="shared" si="1"/>
        <v>37.333333333333336</v>
      </c>
      <c r="AB9" s="843">
        <v>37.5</v>
      </c>
      <c r="AC9" s="1288">
        <f t="shared" si="1"/>
        <v>37.6</v>
      </c>
      <c r="AD9" s="1288">
        <f t="shared" si="1"/>
        <v>34.320987654320987</v>
      </c>
      <c r="AE9" s="843">
        <f>IF(AE8="","",(AE10/AE8)*10)</f>
        <v>30.74074074074074</v>
      </c>
      <c r="AF9" s="1289">
        <v>28.6</v>
      </c>
      <c r="AG9" s="1289">
        <v>28.72</v>
      </c>
      <c r="AH9" s="1289">
        <v>29.84</v>
      </c>
      <c r="AI9" s="843">
        <f>IF(AI8="","",(AI10/AI8)*10)</f>
        <v>29.082413793103449</v>
      </c>
      <c r="AJ9" s="166">
        <v>29</v>
      </c>
      <c r="AK9" s="1471">
        <f>IF(AK8="","",(AK10/AK8)*10)</f>
        <v>28.134516245054549</v>
      </c>
      <c r="AL9" s="1472">
        <v>24.088680080168665</v>
      </c>
      <c r="AM9" s="359">
        <f>AM10/AM8*10</f>
        <v>25.384615384615383</v>
      </c>
      <c r="AN9" s="1713">
        <f>AN10/AN8*10</f>
        <v>25.358024058067656</v>
      </c>
      <c r="AO9" s="359">
        <f>AO10/AO8*10</f>
        <v>25.384615384615383</v>
      </c>
      <c r="AP9" s="166">
        <f>AP10/AP8*10</f>
        <v>28.476959698391511</v>
      </c>
      <c r="AQ9" s="1619">
        <f>AP9/AO9-1</f>
        <v>0.12181962448208994</v>
      </c>
    </row>
    <row r="10" spans="1:44" ht="15" x14ac:dyDescent="0.25">
      <c r="A10" s="256" t="s">
        <v>56</v>
      </c>
      <c r="B10" s="1193">
        <v>290.44299999999998</v>
      </c>
      <c r="C10" s="1193">
        <v>245.56</v>
      </c>
      <c r="D10" s="1193">
        <v>313.62799999999999</v>
      </c>
      <c r="E10" s="1193">
        <v>437.47199999999998</v>
      </c>
      <c r="F10" s="169">
        <v>504</v>
      </c>
      <c r="G10" s="169">
        <v>478</v>
      </c>
      <c r="H10" s="1187">
        <v>483.30200000000002</v>
      </c>
      <c r="I10" s="169">
        <v>354.37</v>
      </c>
      <c r="J10" s="169">
        <v>344.00299999999999</v>
      </c>
      <c r="K10" s="360">
        <v>340.4</v>
      </c>
      <c r="L10" s="1187">
        <v>344.84</v>
      </c>
      <c r="M10" s="165">
        <v>286.7</v>
      </c>
      <c r="N10" s="165">
        <v>305</v>
      </c>
      <c r="O10" s="165">
        <v>307.2</v>
      </c>
      <c r="P10" s="165">
        <v>274.8</v>
      </c>
      <c r="Q10" s="1290">
        <v>273.53899999999999</v>
      </c>
      <c r="R10" s="1285">
        <v>283.5</v>
      </c>
      <c r="S10" s="1285">
        <v>271</v>
      </c>
      <c r="T10" s="1285">
        <v>241</v>
      </c>
      <c r="U10" s="1285">
        <v>241</v>
      </c>
      <c r="V10" s="1285">
        <v>254</v>
      </c>
      <c r="W10" s="1290">
        <v>245.001</v>
      </c>
      <c r="X10" s="1285">
        <v>285.42</v>
      </c>
      <c r="Y10" s="1285">
        <v>280</v>
      </c>
      <c r="Z10" s="1285">
        <v>282</v>
      </c>
      <c r="AA10" s="1285">
        <v>280</v>
      </c>
      <c r="AB10" s="1290">
        <v>278.54500000000002</v>
      </c>
      <c r="AC10" s="1285">
        <v>319.60000000000002</v>
      </c>
      <c r="AD10" s="1285">
        <v>278</v>
      </c>
      <c r="AE10" s="1290">
        <v>249</v>
      </c>
      <c r="AF10" s="1291">
        <v>249</v>
      </c>
      <c r="AG10" s="1291">
        <v>250</v>
      </c>
      <c r="AH10" s="1291">
        <f>AH8*AH9/10</f>
        <v>256.62399999999997</v>
      </c>
      <c r="AI10" s="1290">
        <v>253.017</v>
      </c>
      <c r="AJ10" s="170">
        <f>AJ8*AJ9/10</f>
        <v>222.04429999999996</v>
      </c>
      <c r="AK10" s="1473">
        <v>234.67</v>
      </c>
      <c r="AL10" s="1470">
        <v>185.0926</v>
      </c>
      <c r="AM10" s="1329">
        <v>198</v>
      </c>
      <c r="AN10" s="1714">
        <v>197.73680000000002</v>
      </c>
      <c r="AO10" s="1512">
        <v>198</v>
      </c>
      <c r="AP10" s="1512">
        <v>206.96199999999999</v>
      </c>
      <c r="AQ10" s="1619">
        <f>AP10/AO10-1</f>
        <v>4.5262626262626116E-2</v>
      </c>
    </row>
    <row r="11" spans="1:44" ht="14.25" x14ac:dyDescent="0.2">
      <c r="A11" s="258"/>
      <c r="B11" s="171"/>
      <c r="C11" s="171"/>
      <c r="D11" s="171"/>
      <c r="E11" s="171"/>
      <c r="F11" s="171"/>
      <c r="G11" s="171"/>
      <c r="H11" s="385"/>
      <c r="I11" s="171"/>
      <c r="J11" s="171"/>
      <c r="K11" s="361"/>
      <c r="L11" s="385"/>
      <c r="M11" s="173"/>
      <c r="N11" s="173"/>
      <c r="O11" s="173"/>
      <c r="P11" s="173"/>
      <c r="Q11" s="172"/>
      <c r="R11" s="173"/>
      <c r="S11" s="173"/>
      <c r="T11" s="173"/>
      <c r="U11" s="173"/>
      <c r="V11" s="173"/>
      <c r="W11" s="172"/>
      <c r="X11" s="173"/>
      <c r="Y11" s="173"/>
      <c r="Z11" s="173"/>
      <c r="AA11" s="173"/>
      <c r="AB11" s="172"/>
      <c r="AC11" s="173"/>
      <c r="AD11" s="173"/>
      <c r="AE11" s="1573"/>
      <c r="AF11" s="1574"/>
      <c r="AG11" s="1574"/>
      <c r="AH11" s="1574"/>
      <c r="AI11" s="172"/>
      <c r="AJ11" s="172"/>
      <c r="AK11" s="1474"/>
      <c r="AL11" s="1475"/>
      <c r="AM11" s="1324"/>
      <c r="AN11" s="1715"/>
      <c r="AO11" s="172"/>
      <c r="AP11" s="172"/>
      <c r="AQ11" s="1619"/>
    </row>
    <row r="12" spans="1:44" ht="14.25" x14ac:dyDescent="0.2">
      <c r="A12" s="259" t="s">
        <v>60</v>
      </c>
      <c r="B12" s="174">
        <f>IF(B21="","",B10-B21)</f>
        <v>51.118999999999971</v>
      </c>
      <c r="C12" s="174">
        <f t="shared" ref="C12:K12" si="2">IF(C21="","",C10-C21)</f>
        <v>50.407000000000011</v>
      </c>
      <c r="D12" s="174">
        <f t="shared" si="2"/>
        <v>32.258999999999958</v>
      </c>
      <c r="E12" s="174">
        <f t="shared" si="2"/>
        <v>51.552999999999997</v>
      </c>
      <c r="F12" s="174">
        <f t="shared" si="2"/>
        <v>68</v>
      </c>
      <c r="G12" s="174">
        <f t="shared" si="2"/>
        <v>75</v>
      </c>
      <c r="H12" s="386">
        <f t="shared" si="2"/>
        <v>78.778999999999996</v>
      </c>
      <c r="I12" s="174">
        <f t="shared" si="2"/>
        <v>67.340000000000032</v>
      </c>
      <c r="J12" s="174">
        <f t="shared" si="2"/>
        <v>58.532999999999959</v>
      </c>
      <c r="K12" s="243">
        <f t="shared" si="2"/>
        <v>69.399999999999977</v>
      </c>
      <c r="L12" s="386">
        <f>IF(L21="","",L10-L21)</f>
        <v>75.17999999999995</v>
      </c>
      <c r="M12" s="174">
        <v>51.7</v>
      </c>
      <c r="N12" s="174">
        <v>71</v>
      </c>
      <c r="O12" s="174">
        <v>74.2</v>
      </c>
      <c r="P12" s="174">
        <v>41.8</v>
      </c>
      <c r="Q12" s="175">
        <f t="shared" ref="Q12:AE12" si="3">IF(Q21="","",Q10-Q21)</f>
        <v>42.073999999999984</v>
      </c>
      <c r="R12" s="174">
        <f t="shared" si="3"/>
        <v>56.699999999999989</v>
      </c>
      <c r="S12" s="174">
        <f t="shared" si="3"/>
        <v>46</v>
      </c>
      <c r="T12" s="174">
        <f t="shared" si="3"/>
        <v>46</v>
      </c>
      <c r="U12" s="174">
        <f t="shared" si="3"/>
        <v>45</v>
      </c>
      <c r="V12" s="174">
        <f t="shared" si="3"/>
        <v>46</v>
      </c>
      <c r="W12" s="176">
        <f t="shared" si="3"/>
        <v>43.360000000000014</v>
      </c>
      <c r="X12" s="177" t="str">
        <f t="shared" si="3"/>
        <v/>
      </c>
      <c r="Y12" s="178">
        <f t="shared" si="3"/>
        <v>67</v>
      </c>
      <c r="Z12" s="179">
        <f t="shared" si="3"/>
        <v>70</v>
      </c>
      <c r="AA12" s="178">
        <f t="shared" si="3"/>
        <v>67</v>
      </c>
      <c r="AB12" s="176">
        <f t="shared" si="3"/>
        <v>69.791000000000025</v>
      </c>
      <c r="AC12" s="178">
        <f t="shared" si="3"/>
        <v>63.600000000000023</v>
      </c>
      <c r="AD12" s="178">
        <f t="shared" si="3"/>
        <v>56</v>
      </c>
      <c r="AE12" s="1261">
        <f t="shared" si="3"/>
        <v>67</v>
      </c>
      <c r="AF12" s="1262">
        <f>AF10-AF21</f>
        <v>72</v>
      </c>
      <c r="AG12" s="1262">
        <f>AG10-AG21</f>
        <v>73</v>
      </c>
      <c r="AH12" s="1262">
        <f>AH10-AH21</f>
        <v>74.623999999999967</v>
      </c>
      <c r="AI12" s="176">
        <f>AI10-AI21</f>
        <v>62.038999999999987</v>
      </c>
      <c r="AJ12" s="176"/>
      <c r="AK12" s="1413">
        <f t="shared" ref="AK12:AP12" si="4">AK10-AK21</f>
        <v>49.669999999999987</v>
      </c>
      <c r="AL12" s="1414">
        <f t="shared" si="4"/>
        <v>34.977599999999995</v>
      </c>
      <c r="AM12" s="934">
        <f t="shared" si="4"/>
        <v>45.405000000000001</v>
      </c>
      <c r="AN12" s="1684">
        <f t="shared" si="4"/>
        <v>40.376800000000003</v>
      </c>
      <c r="AO12" s="934">
        <f>AO10-AO21</f>
        <v>40</v>
      </c>
      <c r="AP12" s="1261">
        <f t="shared" si="4"/>
        <v>43.632999999999981</v>
      </c>
      <c r="AQ12" s="1619">
        <f>AP12/AO12-1</f>
        <v>9.0824999999999489E-2</v>
      </c>
    </row>
    <row r="13" spans="1:44" ht="14.25" x14ac:dyDescent="0.2">
      <c r="A13" s="261" t="s">
        <v>61</v>
      </c>
      <c r="B13" s="180">
        <f>(B12/B10)</f>
        <v>0.17600355319288113</v>
      </c>
      <c r="C13" s="180">
        <f t="shared" ref="C13:K13" si="5">(C12/C10)</f>
        <v>0.20527366020524521</v>
      </c>
      <c r="D13" s="180">
        <f t="shared" si="5"/>
        <v>0.10285752547604154</v>
      </c>
      <c r="E13" s="180">
        <f t="shared" si="5"/>
        <v>0.11784297052154195</v>
      </c>
      <c r="F13" s="180">
        <f t="shared" si="5"/>
        <v>0.13492063492063491</v>
      </c>
      <c r="G13" s="180">
        <f t="shared" si="5"/>
        <v>0.15690376569037656</v>
      </c>
      <c r="H13" s="387">
        <f t="shared" si="5"/>
        <v>0.16300160148313061</v>
      </c>
      <c r="I13" s="180">
        <f t="shared" si="5"/>
        <v>0.19002737252024729</v>
      </c>
      <c r="J13" s="180">
        <f t="shared" si="5"/>
        <v>0.1701525858786114</v>
      </c>
      <c r="K13" s="362">
        <f t="shared" si="5"/>
        <v>0.20387779083431251</v>
      </c>
      <c r="L13" s="387">
        <f>(L12/L10)</f>
        <v>0.2180141514905462</v>
      </c>
      <c r="M13" s="182"/>
      <c r="N13" s="182"/>
      <c r="O13" s="182"/>
      <c r="P13" s="182"/>
      <c r="Q13" s="181">
        <f t="shared" ref="Q13:AE13" si="6">(Q12/Q10)</f>
        <v>0.15381353298798339</v>
      </c>
      <c r="R13" s="182">
        <f t="shared" si="6"/>
        <v>0.19999999999999996</v>
      </c>
      <c r="S13" s="182">
        <f t="shared" si="6"/>
        <v>0.16974169741697417</v>
      </c>
      <c r="T13" s="182">
        <f t="shared" si="6"/>
        <v>0.1908713692946058</v>
      </c>
      <c r="U13" s="182">
        <f t="shared" si="6"/>
        <v>0.18672199170124482</v>
      </c>
      <c r="V13" s="182">
        <f t="shared" si="6"/>
        <v>0.18110236220472442</v>
      </c>
      <c r="W13" s="183">
        <f t="shared" si="6"/>
        <v>0.17697886947400221</v>
      </c>
      <c r="X13" s="184" t="e">
        <f t="shared" si="6"/>
        <v>#VALUE!</v>
      </c>
      <c r="Y13" s="185">
        <f t="shared" si="6"/>
        <v>0.2392857142857143</v>
      </c>
      <c r="Z13" s="186">
        <f t="shared" si="6"/>
        <v>0.24822695035460993</v>
      </c>
      <c r="AA13" s="185">
        <f t="shared" si="6"/>
        <v>0.2392857142857143</v>
      </c>
      <c r="AB13" s="183">
        <f t="shared" si="6"/>
        <v>0.25055556552801173</v>
      </c>
      <c r="AC13" s="185">
        <f t="shared" si="6"/>
        <v>0.19899874843554449</v>
      </c>
      <c r="AD13" s="185">
        <f t="shared" si="6"/>
        <v>0.20143884892086331</v>
      </c>
      <c r="AE13" s="1542">
        <f t="shared" si="6"/>
        <v>0.26907630522088355</v>
      </c>
      <c r="AF13" s="1575">
        <f>AF12/AF10</f>
        <v>0.28915662650602408</v>
      </c>
      <c r="AG13" s="1575">
        <f>AG12/AG10</f>
        <v>0.29199999999999998</v>
      </c>
      <c r="AH13" s="1575">
        <f>AH12/AH10</f>
        <v>0.290791196458632</v>
      </c>
      <c r="AI13" s="183">
        <f>AI12/AI10</f>
        <v>0.24519696304991359</v>
      </c>
      <c r="AJ13" s="183"/>
      <c r="AK13" s="1476">
        <f t="shared" ref="AK13:AP13" si="7">AK12/AK10</f>
        <v>0.21165892529935651</v>
      </c>
      <c r="AL13" s="1477">
        <f t="shared" si="7"/>
        <v>0.18897351920065952</v>
      </c>
      <c r="AM13" s="935">
        <f t="shared" si="7"/>
        <v>0.22931818181818184</v>
      </c>
      <c r="AN13" s="1716">
        <f t="shared" si="7"/>
        <v>0.20419466685007545</v>
      </c>
      <c r="AO13" s="935">
        <f>AO12/AO10</f>
        <v>0.20202020202020202</v>
      </c>
      <c r="AP13" s="1542">
        <f t="shared" si="7"/>
        <v>0.21082614199708152</v>
      </c>
      <c r="AQ13" s="1619">
        <f>AP13/AO13-1</f>
        <v>4.3589402885553463E-2</v>
      </c>
    </row>
    <row r="14" spans="1:44" ht="15" x14ac:dyDescent="0.2">
      <c r="A14" s="261"/>
      <c r="B14" s="171"/>
      <c r="C14" s="171"/>
      <c r="D14" s="171"/>
      <c r="E14" s="171"/>
      <c r="F14" s="171"/>
      <c r="G14" s="171"/>
      <c r="H14" s="388"/>
      <c r="I14" s="171"/>
      <c r="J14" s="171"/>
      <c r="K14" s="361"/>
      <c r="L14" s="388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8"/>
      <c r="X14" s="177"/>
      <c r="Y14" s="178"/>
      <c r="Z14" s="179"/>
      <c r="AA14" s="178"/>
      <c r="AB14" s="178"/>
      <c r="AC14" s="187"/>
      <c r="AD14" s="187"/>
      <c r="AE14" s="1260"/>
      <c r="AF14" s="1576"/>
      <c r="AG14" s="1576"/>
      <c r="AH14" s="1576"/>
      <c r="AI14" s="178"/>
      <c r="AJ14" s="178"/>
      <c r="AK14" s="1385"/>
      <c r="AL14" s="1386"/>
      <c r="AM14" s="936"/>
      <c r="AN14" s="1668"/>
      <c r="AO14" s="1260"/>
      <c r="AP14" s="1260"/>
      <c r="AQ14" s="1610"/>
    </row>
    <row r="15" spans="1:44" ht="14.25" x14ac:dyDescent="0.2">
      <c r="A15" s="262" t="s">
        <v>44</v>
      </c>
      <c r="B15" s="188"/>
      <c r="C15" s="189"/>
      <c r="D15" s="190"/>
      <c r="E15" s="190"/>
      <c r="F15" s="190"/>
      <c r="G15" s="190"/>
      <c r="H15" s="389"/>
      <c r="I15" s="190"/>
      <c r="J15" s="190"/>
      <c r="K15" s="363"/>
      <c r="L15" s="389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1"/>
      <c r="Y15" s="190"/>
      <c r="Z15" s="190"/>
      <c r="AA15" s="190"/>
      <c r="AB15" s="176"/>
      <c r="AC15" s="178"/>
      <c r="AD15" s="178"/>
      <c r="AE15" s="1261"/>
      <c r="AF15" s="1262"/>
      <c r="AG15" s="1262">
        <v>157</v>
      </c>
      <c r="AH15" s="1262"/>
      <c r="AI15" s="176"/>
      <c r="AJ15" s="983"/>
      <c r="AK15" s="1413"/>
      <c r="AL15" s="1414"/>
      <c r="AM15" s="934"/>
      <c r="AN15" s="1684">
        <f>154318/1000</f>
        <v>154.31800000000001</v>
      </c>
      <c r="AO15" s="1261"/>
      <c r="AP15" s="1261">
        <v>32.911000000000001</v>
      </c>
      <c r="AQ15" s="1619"/>
    </row>
    <row r="16" spans="1:44" ht="14.25" x14ac:dyDescent="0.2">
      <c r="A16" s="1335" t="s">
        <v>191</v>
      </c>
      <c r="B16" s="192"/>
      <c r="C16" s="192"/>
      <c r="D16" s="192"/>
      <c r="E16" s="192"/>
      <c r="F16" s="192"/>
      <c r="G16" s="192">
        <v>376</v>
      </c>
      <c r="H16" s="390"/>
      <c r="I16" s="192"/>
      <c r="J16" s="192"/>
      <c r="K16" s="364"/>
      <c r="L16" s="390"/>
      <c r="M16" s="192"/>
      <c r="N16" s="192"/>
      <c r="O16" s="192"/>
      <c r="P16" s="192"/>
      <c r="Q16" s="192"/>
      <c r="R16" s="192"/>
      <c r="S16" s="192"/>
      <c r="T16" s="192">
        <v>155</v>
      </c>
      <c r="U16" s="192">
        <v>169</v>
      </c>
      <c r="V16" s="192">
        <v>188</v>
      </c>
      <c r="W16" s="192"/>
      <c r="X16" s="193"/>
      <c r="Y16" s="192"/>
      <c r="Z16" s="192">
        <v>161</v>
      </c>
      <c r="AA16" s="192"/>
      <c r="AB16" s="183"/>
      <c r="AC16" s="185"/>
      <c r="AD16" s="185"/>
      <c r="AE16" s="1542"/>
      <c r="AF16" s="1575"/>
      <c r="AG16" s="1575">
        <f>AG15/AG10</f>
        <v>0.628</v>
      </c>
      <c r="AH16" s="1575"/>
      <c r="AI16" s="183"/>
      <c r="AJ16" s="989"/>
      <c r="AK16" s="1476"/>
      <c r="AL16" s="1477"/>
      <c r="AM16" s="935"/>
      <c r="AN16" s="1716">
        <f>AN15/AN10</f>
        <v>0.78042124682911829</v>
      </c>
      <c r="AO16" s="1542"/>
      <c r="AP16" s="1542">
        <f>AP15/AP10</f>
        <v>0.15901953015529421</v>
      </c>
      <c r="AQ16" s="1619"/>
    </row>
    <row r="17" spans="1:43" ht="14.25" x14ac:dyDescent="0.2">
      <c r="A17" s="262" t="s">
        <v>29</v>
      </c>
      <c r="B17" s="194"/>
      <c r="C17" s="194"/>
      <c r="D17" s="194"/>
      <c r="E17" s="194"/>
      <c r="F17" s="194"/>
      <c r="G17" s="194">
        <v>0.9330024813895782</v>
      </c>
      <c r="H17" s="391"/>
      <c r="I17" s="194"/>
      <c r="J17" s="194"/>
      <c r="K17" s="365"/>
      <c r="L17" s="391"/>
      <c r="M17" s="194"/>
      <c r="N17" s="194"/>
      <c r="O17" s="194"/>
      <c r="P17" s="194"/>
      <c r="Q17" s="194"/>
      <c r="R17" s="194"/>
      <c r="S17" s="194"/>
      <c r="T17" s="194">
        <v>0.6431535269709544</v>
      </c>
      <c r="U17" s="194">
        <v>0.70124481327800825</v>
      </c>
      <c r="V17" s="194">
        <v>0.74015748031496065</v>
      </c>
      <c r="W17" s="194"/>
      <c r="X17" s="195"/>
      <c r="Y17" s="194"/>
      <c r="Z17" s="194">
        <v>0.57092198581560283</v>
      </c>
      <c r="AA17" s="194"/>
      <c r="AB17" s="183"/>
      <c r="AC17" s="185"/>
      <c r="AD17" s="185"/>
      <c r="AE17" s="1542"/>
      <c r="AF17" s="1575"/>
      <c r="AG17" s="1575">
        <f>AG15/AG21</f>
        <v>0.88700564971751417</v>
      </c>
      <c r="AH17" s="1575"/>
      <c r="AI17" s="183"/>
      <c r="AJ17" s="989"/>
      <c r="AK17" s="1476"/>
      <c r="AL17" s="1477"/>
      <c r="AM17" s="935"/>
      <c r="AN17" s="1716">
        <f>AN15/AN21</f>
        <v>0.98066853075749871</v>
      </c>
      <c r="AO17" s="1542"/>
      <c r="AP17" s="1542">
        <f>AP15/AP21</f>
        <v>0.20150126431925744</v>
      </c>
      <c r="AQ17" s="1619"/>
    </row>
    <row r="18" spans="1:43" ht="14.25" x14ac:dyDescent="0.2">
      <c r="A18" s="1337"/>
      <c r="B18" s="188"/>
      <c r="C18" s="196"/>
      <c r="D18" s="197"/>
      <c r="E18" s="197"/>
      <c r="F18" s="197"/>
      <c r="G18" s="197"/>
      <c r="H18" s="392"/>
      <c r="I18" s="197"/>
      <c r="J18" s="197"/>
      <c r="K18" s="366"/>
      <c r="L18" s="392"/>
      <c r="M18" s="197"/>
      <c r="N18" s="197"/>
      <c r="O18" s="197"/>
      <c r="P18" s="197"/>
      <c r="Q18" s="197"/>
      <c r="R18" s="197"/>
      <c r="S18" s="197"/>
      <c r="T18" s="197"/>
      <c r="U18" s="197"/>
      <c r="V18" s="194">
        <v>0.90384615384615385</v>
      </c>
      <c r="W18" s="194"/>
      <c r="X18" s="198"/>
      <c r="Y18" s="194"/>
      <c r="Z18" s="194">
        <v>0.75943396226415094</v>
      </c>
      <c r="AA18" s="194"/>
      <c r="AB18" s="194"/>
      <c r="AC18" s="194"/>
      <c r="AD18" s="194"/>
      <c r="AE18" s="1543"/>
      <c r="AF18" s="1526"/>
      <c r="AG18" s="1526"/>
      <c r="AH18" s="1526"/>
      <c r="AI18" s="194"/>
      <c r="AJ18" s="194"/>
      <c r="AK18" s="1350"/>
      <c r="AL18" s="1351"/>
      <c r="AM18" s="365"/>
      <c r="AN18" s="1633"/>
      <c r="AO18" s="194"/>
      <c r="AP18" s="1543"/>
      <c r="AQ18" s="1619"/>
    </row>
    <row r="19" spans="1:43" ht="15" x14ac:dyDescent="0.25">
      <c r="A19" s="150" t="s">
        <v>59</v>
      </c>
      <c r="B19" s="1221"/>
      <c r="C19" s="1222"/>
      <c r="D19" s="1223"/>
      <c r="E19" s="1223"/>
      <c r="F19" s="1223"/>
      <c r="G19" s="1223"/>
      <c r="H19" s="1224"/>
      <c r="I19" s="1223"/>
      <c r="J19" s="1223"/>
      <c r="K19" s="1225"/>
      <c r="L19" s="1224"/>
      <c r="M19" s="1223"/>
      <c r="N19" s="1223"/>
      <c r="O19" s="1223"/>
      <c r="P19" s="1223"/>
      <c r="Q19" s="1223"/>
      <c r="R19" s="1223"/>
      <c r="S19" s="1223"/>
      <c r="T19" s="1223"/>
      <c r="U19" s="1223"/>
      <c r="V19" s="1223"/>
      <c r="W19" s="1223"/>
      <c r="X19" s="1226"/>
      <c r="Y19" s="1223"/>
      <c r="Z19" s="1223"/>
      <c r="AA19" s="1223"/>
      <c r="AB19" s="1223"/>
      <c r="AC19" s="1223"/>
      <c r="AD19" s="1223"/>
      <c r="AE19" s="523"/>
      <c r="AF19" s="1577"/>
      <c r="AG19" s="1577"/>
      <c r="AH19" s="1577"/>
      <c r="AI19" s="1223"/>
      <c r="AJ19" s="1223"/>
      <c r="AK19" s="1478"/>
      <c r="AL19" s="1479"/>
      <c r="AM19" s="1225"/>
      <c r="AN19" s="1717"/>
      <c r="AO19" s="1223"/>
      <c r="AP19" s="1223"/>
      <c r="AQ19" s="1619"/>
    </row>
    <row r="20" spans="1:43" ht="15" x14ac:dyDescent="0.25">
      <c r="A20" s="264" t="s">
        <v>2</v>
      </c>
      <c r="B20" s="1146">
        <v>48.814</v>
      </c>
      <c r="C20" s="200">
        <f>B42</f>
        <v>19.955000000000041</v>
      </c>
      <c r="D20" s="200">
        <f>C42</f>
        <v>10.708000000000027</v>
      </c>
      <c r="E20" s="200">
        <f>D42</f>
        <v>18.769000000000062</v>
      </c>
      <c r="F20" s="200">
        <v>40</v>
      </c>
      <c r="G20" s="200">
        <v>41.246000000000002</v>
      </c>
      <c r="H20" s="393">
        <f>E42</f>
        <v>43.260000000000048</v>
      </c>
      <c r="I20" s="200">
        <v>45</v>
      </c>
      <c r="J20" s="200">
        <v>45</v>
      </c>
      <c r="K20" s="682">
        <v>45</v>
      </c>
      <c r="L20" s="393">
        <f>H42</f>
        <v>44.736000000000104</v>
      </c>
      <c r="M20" s="200">
        <v>25</v>
      </c>
      <c r="N20" s="200">
        <v>25</v>
      </c>
      <c r="O20" s="200">
        <v>25</v>
      </c>
      <c r="P20" s="200">
        <v>25</v>
      </c>
      <c r="Q20" s="200">
        <f>L42</f>
        <v>22.472000000000151</v>
      </c>
      <c r="R20" s="200">
        <v>27</v>
      </c>
      <c r="S20" s="200">
        <v>15</v>
      </c>
      <c r="T20" s="200">
        <v>15</v>
      </c>
      <c r="U20" s="200">
        <v>15</v>
      </c>
      <c r="V20" s="200">
        <v>15</v>
      </c>
      <c r="W20" s="200">
        <f>Q42</f>
        <v>12.603999999999999</v>
      </c>
      <c r="X20" s="1227">
        <v>26</v>
      </c>
      <c r="Y20" s="200">
        <v>19</v>
      </c>
      <c r="Z20" s="200">
        <v>19</v>
      </c>
      <c r="AA20" s="200">
        <v>19</v>
      </c>
      <c r="AB20" s="200">
        <f>W42</f>
        <v>12.923</v>
      </c>
      <c r="AC20" s="200">
        <v>71</v>
      </c>
      <c r="AD20" s="200">
        <v>71</v>
      </c>
      <c r="AE20" s="729">
        <v>43</v>
      </c>
      <c r="AF20" s="1249">
        <v>43</v>
      </c>
      <c r="AG20" s="1249">
        <v>43</v>
      </c>
      <c r="AH20" s="1249">
        <f>AB42</f>
        <v>34.367000000000004</v>
      </c>
      <c r="AI20" s="200">
        <f>AB42</f>
        <v>34.367000000000004</v>
      </c>
      <c r="AJ20" s="200">
        <f>'[1]FEV 15-16'!AH42</f>
        <v>87</v>
      </c>
      <c r="AK20" s="1352">
        <f>AI42</f>
        <v>60.239000000000004</v>
      </c>
      <c r="AL20" s="1007">
        <f>AI42</f>
        <v>60.239000000000004</v>
      </c>
      <c r="AM20" s="682">
        <f>AI42</f>
        <v>60.239000000000004</v>
      </c>
      <c r="AN20" s="1635">
        <f>AI42</f>
        <v>60.239000000000004</v>
      </c>
      <c r="AO20" s="200">
        <f>AI42</f>
        <v>60.239000000000004</v>
      </c>
      <c r="AP20" s="200">
        <f>AO42</f>
        <v>36.4</v>
      </c>
      <c r="AQ20" s="1619">
        <f>AP20/AO20-1</f>
        <v>-0.39574030113381697</v>
      </c>
    </row>
    <row r="21" spans="1:43" ht="15" x14ac:dyDescent="0.25">
      <c r="A21" s="149" t="s">
        <v>21</v>
      </c>
      <c r="B21" s="1171">
        <v>239.32400000000001</v>
      </c>
      <c r="C21" s="1171">
        <v>195.15299999999999</v>
      </c>
      <c r="D21" s="1171">
        <v>281.36900000000003</v>
      </c>
      <c r="E21" s="1171">
        <v>385.91899999999998</v>
      </c>
      <c r="F21" s="203">
        <v>436</v>
      </c>
      <c r="G21" s="203">
        <v>403</v>
      </c>
      <c r="H21" s="1170">
        <v>404.52300000000002</v>
      </c>
      <c r="I21" s="203">
        <v>287.02999999999997</v>
      </c>
      <c r="J21" s="203">
        <v>285.47000000000003</v>
      </c>
      <c r="K21" s="1228">
        <v>271</v>
      </c>
      <c r="L21" s="1170">
        <v>269.66000000000003</v>
      </c>
      <c r="M21" s="203">
        <v>235</v>
      </c>
      <c r="N21" s="203">
        <v>234</v>
      </c>
      <c r="O21" s="203">
        <v>233</v>
      </c>
      <c r="P21" s="203">
        <v>233</v>
      </c>
      <c r="Q21" s="205">
        <v>231.465</v>
      </c>
      <c r="R21" s="205">
        <v>226.8</v>
      </c>
      <c r="S21" s="205">
        <v>225</v>
      </c>
      <c r="T21" s="205">
        <v>195</v>
      </c>
      <c r="U21" s="205">
        <v>196</v>
      </c>
      <c r="V21" s="205">
        <v>208</v>
      </c>
      <c r="W21" s="205">
        <v>201.64099999999999</v>
      </c>
      <c r="X21" s="205"/>
      <c r="Y21" s="205">
        <v>213</v>
      </c>
      <c r="Z21" s="205">
        <v>212</v>
      </c>
      <c r="AA21" s="205">
        <v>213</v>
      </c>
      <c r="AB21" s="205">
        <v>208.75399999999999</v>
      </c>
      <c r="AC21" s="205">
        <v>256</v>
      </c>
      <c r="AD21" s="205">
        <v>222</v>
      </c>
      <c r="AE21" s="205">
        <v>182</v>
      </c>
      <c r="AF21" s="1292">
        <v>177</v>
      </c>
      <c r="AG21" s="1292">
        <v>177</v>
      </c>
      <c r="AH21" s="1292">
        <v>182</v>
      </c>
      <c r="AI21" s="205">
        <v>190.97800000000001</v>
      </c>
      <c r="AJ21" s="203">
        <f>AJ22*AJ10</f>
        <v>157.65145299999998</v>
      </c>
      <c r="AK21" s="1380">
        <v>185</v>
      </c>
      <c r="AL21" s="1470">
        <v>150.11500000000001</v>
      </c>
      <c r="AM21" s="1329">
        <v>152.595</v>
      </c>
      <c r="AN21" s="1712">
        <f>157360/1000</f>
        <v>157.36000000000001</v>
      </c>
      <c r="AO21" s="1737">
        <v>158</v>
      </c>
      <c r="AP21" s="1522">
        <v>163.32900000000001</v>
      </c>
      <c r="AQ21" s="1619">
        <f>AP21/AO21-1</f>
        <v>3.3727848101265945E-2</v>
      </c>
    </row>
    <row r="22" spans="1:43" ht="15" x14ac:dyDescent="0.2">
      <c r="A22" s="265" t="s">
        <v>30</v>
      </c>
      <c r="B22" s="208">
        <v>0.7755737515857456</v>
      </c>
      <c r="C22" s="208">
        <v>0.8041666666666667</v>
      </c>
      <c r="D22" s="208">
        <v>0.88162893081761007</v>
      </c>
      <c r="E22" s="208">
        <v>0.8830275229357798</v>
      </c>
      <c r="F22" s="1229"/>
      <c r="G22" s="1229"/>
      <c r="H22" s="395">
        <v>0.83731732776617951</v>
      </c>
      <c r="I22" s="1229"/>
      <c r="J22" s="1229"/>
      <c r="K22" s="1230"/>
      <c r="L22" s="395">
        <v>0.7755737515857456</v>
      </c>
      <c r="M22" s="203"/>
      <c r="N22" s="208"/>
      <c r="O22" s="208">
        <v>0.75846354166666674</v>
      </c>
      <c r="P22" s="208">
        <v>0.84788937409024745</v>
      </c>
      <c r="Q22" s="208">
        <v>0.83576642335766427</v>
      </c>
      <c r="R22" s="208"/>
      <c r="S22" s="208">
        <v>0.8302583025830258</v>
      </c>
      <c r="T22" s="208">
        <v>0.8091286307053942</v>
      </c>
      <c r="U22" s="208">
        <v>0.81327800829875518</v>
      </c>
      <c r="V22" s="208">
        <v>0.81889763779527558</v>
      </c>
      <c r="W22" s="208">
        <v>0.82644628099173556</v>
      </c>
      <c r="X22" s="1231"/>
      <c r="Y22" s="208">
        <v>0.76071428571428568</v>
      </c>
      <c r="Z22" s="208">
        <v>0.75177304964539005</v>
      </c>
      <c r="AA22" s="208">
        <v>0.76071428571428568</v>
      </c>
      <c r="AB22" s="208">
        <v>0.74285714285714288</v>
      </c>
      <c r="AC22" s="208">
        <v>0.80100125156445567</v>
      </c>
      <c r="AD22" s="208">
        <v>0.79856115107913672</v>
      </c>
      <c r="AE22" s="1578">
        <v>0.73092369477911645</v>
      </c>
      <c r="AF22" s="1579">
        <f>AF21/AF10</f>
        <v>0.71084337349397586</v>
      </c>
      <c r="AG22" s="1579">
        <f>AG21/AG10</f>
        <v>0.70799999999999996</v>
      </c>
      <c r="AH22" s="1579">
        <f>AH21/AH10</f>
        <v>0.70920880354136806</v>
      </c>
      <c r="AI22" s="208">
        <f>AI21/AI10</f>
        <v>0.75480303695008644</v>
      </c>
      <c r="AJ22" s="208">
        <v>0.71</v>
      </c>
      <c r="AK22" s="1480">
        <f t="shared" ref="AK22:AP22" si="8">AK21/AK10</f>
        <v>0.78834107470064352</v>
      </c>
      <c r="AL22" s="1481">
        <f t="shared" si="8"/>
        <v>0.81102648079934048</v>
      </c>
      <c r="AM22" s="938">
        <f t="shared" si="8"/>
        <v>0.77068181818181813</v>
      </c>
      <c r="AN22" s="1718">
        <f t="shared" si="8"/>
        <v>0.79580533314992452</v>
      </c>
      <c r="AO22" s="938">
        <f>AO21/AO10</f>
        <v>0.79797979797979801</v>
      </c>
      <c r="AP22" s="938">
        <f t="shared" si="8"/>
        <v>0.7891738580029185</v>
      </c>
      <c r="AQ22" s="1619">
        <f>AP22/AO22-1</f>
        <v>-1.1035291869760377E-2</v>
      </c>
    </row>
    <row r="23" spans="1:43" ht="15" x14ac:dyDescent="0.2">
      <c r="A23" s="266" t="s">
        <v>31</v>
      </c>
      <c r="B23" s="211"/>
      <c r="C23" s="1242">
        <v>16</v>
      </c>
      <c r="D23" s="1232"/>
      <c r="E23" s="1232"/>
      <c r="F23" s="1232"/>
      <c r="G23" s="1232"/>
      <c r="H23" s="396"/>
      <c r="I23" s="1232"/>
      <c r="J23" s="1232"/>
      <c r="K23" s="1233"/>
      <c r="L23" s="396"/>
      <c r="M23" s="214"/>
      <c r="N23" s="214"/>
      <c r="O23" s="214"/>
      <c r="P23" s="214"/>
      <c r="Q23" s="214"/>
      <c r="R23" s="214"/>
      <c r="S23" s="214"/>
      <c r="T23" s="214"/>
      <c r="U23" s="214"/>
      <c r="V23" s="217">
        <v>-10</v>
      </c>
      <c r="W23" s="217"/>
      <c r="X23" s="1234"/>
      <c r="Y23" s="217"/>
      <c r="Z23" s="217"/>
      <c r="AA23" s="217"/>
      <c r="AB23" s="203"/>
      <c r="AC23" s="217"/>
      <c r="AD23" s="217"/>
      <c r="AE23" s="1580"/>
      <c r="AF23" s="1581"/>
      <c r="AG23" s="1581"/>
      <c r="AH23" s="1581"/>
      <c r="AI23" s="203"/>
      <c r="AJ23" s="203"/>
      <c r="AK23" s="1380"/>
      <c r="AL23" s="1381"/>
      <c r="AM23" s="1228"/>
      <c r="AN23" s="1665"/>
      <c r="AO23" s="1738"/>
      <c r="AP23" s="203"/>
      <c r="AQ23" s="1619"/>
    </row>
    <row r="24" spans="1:43" ht="15.75" x14ac:dyDescent="0.25">
      <c r="A24" s="150" t="s">
        <v>20</v>
      </c>
      <c r="B24" s="1119">
        <f t="shared" ref="B24:AI24" si="9">B25+B26</f>
        <v>6.4470000000000001</v>
      </c>
      <c r="C24" s="1119">
        <f t="shared" si="9"/>
        <v>6.9570000000000007</v>
      </c>
      <c r="D24" s="1119">
        <f>D25+D26</f>
        <v>2.8170000000000002</v>
      </c>
      <c r="E24" s="1119">
        <f t="shared" si="9"/>
        <v>1.9340000000000002</v>
      </c>
      <c r="F24" s="219">
        <f t="shared" si="9"/>
        <v>2</v>
      </c>
      <c r="G24" s="219">
        <f t="shared" si="9"/>
        <v>2</v>
      </c>
      <c r="H24" s="1112">
        <f t="shared" si="9"/>
        <v>4.2439999999999998</v>
      </c>
      <c r="I24" s="219">
        <f t="shared" si="9"/>
        <v>4</v>
      </c>
      <c r="J24" s="219">
        <f t="shared" si="9"/>
        <v>5</v>
      </c>
      <c r="K24" s="371">
        <f t="shared" si="9"/>
        <v>5</v>
      </c>
      <c r="L24" s="1112">
        <f t="shared" si="9"/>
        <v>6.1169999999999991</v>
      </c>
      <c r="M24" s="1112">
        <f t="shared" si="9"/>
        <v>6</v>
      </c>
      <c r="N24" s="1112">
        <f t="shared" si="9"/>
        <v>8</v>
      </c>
      <c r="O24" s="1112">
        <f t="shared" si="9"/>
        <v>11</v>
      </c>
      <c r="P24" s="1112">
        <f t="shared" si="9"/>
        <v>11</v>
      </c>
      <c r="Q24" s="1112">
        <f t="shared" si="9"/>
        <v>11.898</v>
      </c>
      <c r="R24" s="1112">
        <f t="shared" si="9"/>
        <v>10</v>
      </c>
      <c r="S24" s="1112">
        <f t="shared" si="9"/>
        <v>10</v>
      </c>
      <c r="T24" s="1112">
        <f t="shared" si="9"/>
        <v>12</v>
      </c>
      <c r="U24" s="1112">
        <f t="shared" si="9"/>
        <v>15</v>
      </c>
      <c r="V24" s="1112">
        <f t="shared" si="9"/>
        <v>15</v>
      </c>
      <c r="W24" s="1112">
        <f t="shared" si="9"/>
        <v>14.887</v>
      </c>
      <c r="X24" s="1112">
        <f t="shared" si="9"/>
        <v>0</v>
      </c>
      <c r="Y24" s="1112">
        <f t="shared" si="9"/>
        <v>15</v>
      </c>
      <c r="Z24" s="1112">
        <f t="shared" si="9"/>
        <v>18</v>
      </c>
      <c r="AA24" s="1112">
        <f t="shared" si="9"/>
        <v>14</v>
      </c>
      <c r="AB24" s="1112">
        <f t="shared" si="9"/>
        <v>13.203000000000001</v>
      </c>
      <c r="AC24" s="1112">
        <f t="shared" si="9"/>
        <v>10</v>
      </c>
      <c r="AD24" s="1112">
        <f t="shared" si="9"/>
        <v>10</v>
      </c>
      <c r="AE24" s="1112">
        <f t="shared" si="9"/>
        <v>15</v>
      </c>
      <c r="AF24" s="1112">
        <f t="shared" si="9"/>
        <v>20</v>
      </c>
      <c r="AG24" s="1112">
        <f t="shared" si="9"/>
        <v>15</v>
      </c>
      <c r="AH24" s="1112">
        <f t="shared" si="9"/>
        <v>15</v>
      </c>
      <c r="AI24" s="1112">
        <f t="shared" si="9"/>
        <v>15.227</v>
      </c>
      <c r="AJ24" s="220">
        <f t="shared" ref="AJ24:AP24" si="10">AJ25+AJ26</f>
        <v>15</v>
      </c>
      <c r="AK24" s="1482">
        <f t="shared" si="10"/>
        <v>15</v>
      </c>
      <c r="AL24" s="1483">
        <f t="shared" si="10"/>
        <v>10</v>
      </c>
      <c r="AM24" s="824">
        <f t="shared" si="10"/>
        <v>10</v>
      </c>
      <c r="AN24" s="1719">
        <f t="shared" si="10"/>
        <v>16</v>
      </c>
      <c r="AO24" s="840">
        <f>AO25+AO26</f>
        <v>15.5</v>
      </c>
      <c r="AP24" s="220">
        <f t="shared" si="10"/>
        <v>15</v>
      </c>
      <c r="AQ24" s="1620">
        <f>AP24/AO24-1</f>
        <v>-3.2258064516129004E-2</v>
      </c>
    </row>
    <row r="25" spans="1:43" ht="14.25" x14ac:dyDescent="0.2">
      <c r="A25" s="602" t="s">
        <v>216</v>
      </c>
      <c r="B25" s="1151">
        <v>5.9390000000000001</v>
      </c>
      <c r="C25" s="1151">
        <v>6.6980000000000004</v>
      </c>
      <c r="D25" s="1151">
        <v>2.298</v>
      </c>
      <c r="E25" s="1151">
        <v>1.4750000000000001</v>
      </c>
      <c r="F25" s="174">
        <v>1</v>
      </c>
      <c r="G25" s="174">
        <v>1</v>
      </c>
      <c r="H25" s="1150">
        <v>3.8490000000000002</v>
      </c>
      <c r="I25" s="1149">
        <v>3</v>
      </c>
      <c r="J25" s="1149">
        <v>4</v>
      </c>
      <c r="K25" s="838">
        <v>4</v>
      </c>
      <c r="L25" s="1150">
        <v>5.3869999999999996</v>
      </c>
      <c r="M25" s="386">
        <v>5</v>
      </c>
      <c r="N25" s="386">
        <v>7</v>
      </c>
      <c r="O25" s="386">
        <v>10</v>
      </c>
      <c r="P25" s="386">
        <v>10</v>
      </c>
      <c r="Q25" s="1293">
        <v>11.24</v>
      </c>
      <c r="R25" s="1293">
        <v>9</v>
      </c>
      <c r="S25" s="1293">
        <v>9</v>
      </c>
      <c r="T25" s="1293">
        <v>11</v>
      </c>
      <c r="U25" s="1293">
        <v>14</v>
      </c>
      <c r="V25" s="1293">
        <v>14</v>
      </c>
      <c r="W25" s="1293">
        <v>14.361000000000001</v>
      </c>
      <c r="X25" s="1293"/>
      <c r="Y25" s="1293">
        <v>14</v>
      </c>
      <c r="Z25" s="1293">
        <v>17</v>
      </c>
      <c r="AA25" s="1293">
        <v>13</v>
      </c>
      <c r="AB25" s="1293">
        <v>12.608000000000001</v>
      </c>
      <c r="AC25" s="1293">
        <v>9</v>
      </c>
      <c r="AD25" s="1293">
        <v>9</v>
      </c>
      <c r="AE25" s="1293">
        <v>14</v>
      </c>
      <c r="AF25" s="1293">
        <v>19</v>
      </c>
      <c r="AG25" s="1293">
        <v>14</v>
      </c>
      <c r="AH25" s="1293">
        <v>14</v>
      </c>
      <c r="AI25" s="1293">
        <v>14.856</v>
      </c>
      <c r="AJ25" s="386">
        <v>14</v>
      </c>
      <c r="AK25" s="1484">
        <v>14</v>
      </c>
      <c r="AL25" s="1485">
        <v>9</v>
      </c>
      <c r="AM25" s="554">
        <v>9</v>
      </c>
      <c r="AN25" s="1720">
        <v>15</v>
      </c>
      <c r="AO25" s="175">
        <v>15</v>
      </c>
      <c r="AP25" s="175">
        <v>14</v>
      </c>
      <c r="AQ25" s="1619">
        <f>AP25/AO25-1</f>
        <v>-6.6666666666666652E-2</v>
      </c>
    </row>
    <row r="26" spans="1:43" ht="14.25" x14ac:dyDescent="0.2">
      <c r="A26" s="266" t="s">
        <v>3</v>
      </c>
      <c r="B26" s="1151">
        <v>0.50800000000000001</v>
      </c>
      <c r="C26" s="1151">
        <v>0.25900000000000001</v>
      </c>
      <c r="D26" s="1151">
        <v>0.51900000000000002</v>
      </c>
      <c r="E26" s="1151">
        <v>0.45900000000000002</v>
      </c>
      <c r="F26" s="174">
        <v>1</v>
      </c>
      <c r="G26" s="174">
        <v>1</v>
      </c>
      <c r="H26" s="1150">
        <v>0.39500000000000002</v>
      </c>
      <c r="I26" s="1149">
        <v>1</v>
      </c>
      <c r="J26" s="1149">
        <v>1</v>
      </c>
      <c r="K26" s="838">
        <v>1</v>
      </c>
      <c r="L26" s="1150">
        <v>0.73</v>
      </c>
      <c r="M26" s="386">
        <v>1</v>
      </c>
      <c r="N26" s="386">
        <v>1</v>
      </c>
      <c r="O26" s="386">
        <v>1</v>
      </c>
      <c r="P26" s="386">
        <v>1</v>
      </c>
      <c r="Q26" s="1293">
        <v>0.65800000000000003</v>
      </c>
      <c r="R26" s="1293">
        <v>1</v>
      </c>
      <c r="S26" s="1293">
        <v>1</v>
      </c>
      <c r="T26" s="1293">
        <v>1</v>
      </c>
      <c r="U26" s="1293">
        <v>1</v>
      </c>
      <c r="V26" s="1293">
        <v>1</v>
      </c>
      <c r="W26" s="1293">
        <v>0.52600000000000002</v>
      </c>
      <c r="X26" s="1293"/>
      <c r="Y26" s="1293">
        <v>1</v>
      </c>
      <c r="Z26" s="1293">
        <v>1</v>
      </c>
      <c r="AA26" s="1293">
        <v>1</v>
      </c>
      <c r="AB26" s="1293">
        <v>0.59499999999999997</v>
      </c>
      <c r="AC26" s="1293">
        <v>1</v>
      </c>
      <c r="AD26" s="1293">
        <v>1</v>
      </c>
      <c r="AE26" s="1293">
        <v>1</v>
      </c>
      <c r="AF26" s="1293">
        <v>1</v>
      </c>
      <c r="AG26" s="1293">
        <v>1</v>
      </c>
      <c r="AH26" s="1293">
        <v>1</v>
      </c>
      <c r="AI26" s="1293">
        <v>0.371</v>
      </c>
      <c r="AJ26" s="386">
        <v>1</v>
      </c>
      <c r="AK26" s="1484">
        <v>1</v>
      </c>
      <c r="AL26" s="1485">
        <v>1</v>
      </c>
      <c r="AM26" s="554">
        <v>1</v>
      </c>
      <c r="AN26" s="1720">
        <v>1</v>
      </c>
      <c r="AO26" s="175">
        <v>0.5</v>
      </c>
      <c r="AP26" s="175">
        <v>1</v>
      </c>
      <c r="AQ26" s="1619">
        <f>AP26/AO26-1</f>
        <v>1</v>
      </c>
    </row>
    <row r="27" spans="1:43" ht="18" customHeight="1" x14ac:dyDescent="0.25">
      <c r="A27" s="151" t="s">
        <v>235</v>
      </c>
      <c r="B27" s="240">
        <f t="shared" ref="B27:AB27" si="11">B20+B21+B23+B24</f>
        <v>294.58500000000004</v>
      </c>
      <c r="C27" s="240">
        <f t="shared" si="11"/>
        <v>238.06500000000003</v>
      </c>
      <c r="D27" s="224">
        <f t="shared" si="11"/>
        <v>294.89400000000006</v>
      </c>
      <c r="E27" s="224">
        <f t="shared" si="11"/>
        <v>406.62200000000007</v>
      </c>
      <c r="F27" s="224">
        <f t="shared" si="11"/>
        <v>478</v>
      </c>
      <c r="G27" s="224">
        <f t="shared" si="11"/>
        <v>446.24599999999998</v>
      </c>
      <c r="H27" s="398">
        <f t="shared" si="11"/>
        <v>452.02700000000004</v>
      </c>
      <c r="I27" s="224">
        <f t="shared" si="11"/>
        <v>336.03</v>
      </c>
      <c r="J27" s="224">
        <f t="shared" si="11"/>
        <v>335.47</v>
      </c>
      <c r="K27" s="372">
        <f t="shared" si="11"/>
        <v>321</v>
      </c>
      <c r="L27" s="398">
        <f t="shared" si="11"/>
        <v>320.51300000000015</v>
      </c>
      <c r="M27" s="226">
        <f t="shared" si="11"/>
        <v>266</v>
      </c>
      <c r="N27" s="226">
        <f t="shared" si="11"/>
        <v>267</v>
      </c>
      <c r="O27" s="226">
        <f t="shared" si="11"/>
        <v>269</v>
      </c>
      <c r="P27" s="226">
        <f t="shared" si="11"/>
        <v>269</v>
      </c>
      <c r="Q27" s="225">
        <f t="shared" si="11"/>
        <v>265.83500000000015</v>
      </c>
      <c r="R27" s="226">
        <f t="shared" si="11"/>
        <v>263.8</v>
      </c>
      <c r="S27" s="226">
        <f t="shared" si="11"/>
        <v>250</v>
      </c>
      <c r="T27" s="226">
        <f t="shared" si="11"/>
        <v>222</v>
      </c>
      <c r="U27" s="226">
        <f t="shared" si="11"/>
        <v>226</v>
      </c>
      <c r="V27" s="226">
        <f t="shared" si="11"/>
        <v>228</v>
      </c>
      <c r="W27" s="225">
        <f t="shared" si="11"/>
        <v>229.13200000000001</v>
      </c>
      <c r="X27" s="226">
        <f t="shared" si="11"/>
        <v>26</v>
      </c>
      <c r="Y27" s="226">
        <f t="shared" si="11"/>
        <v>247</v>
      </c>
      <c r="Z27" s="226">
        <f t="shared" si="11"/>
        <v>249</v>
      </c>
      <c r="AA27" s="226">
        <f t="shared" si="11"/>
        <v>246</v>
      </c>
      <c r="AB27" s="225">
        <f t="shared" si="11"/>
        <v>234.88</v>
      </c>
      <c r="AC27" s="226">
        <v>337</v>
      </c>
      <c r="AD27" s="226">
        <v>303</v>
      </c>
      <c r="AE27" s="225">
        <v>240</v>
      </c>
      <c r="AF27" s="825">
        <f t="shared" ref="AF27:AN27" si="12">AF20+AF21+AF23+AF24</f>
        <v>240</v>
      </c>
      <c r="AG27" s="825">
        <f t="shared" si="12"/>
        <v>235</v>
      </c>
      <c r="AH27" s="825">
        <f t="shared" si="12"/>
        <v>231.36700000000002</v>
      </c>
      <c r="AI27" s="225">
        <f t="shared" si="12"/>
        <v>240.57200000000003</v>
      </c>
      <c r="AJ27" s="225">
        <f t="shared" si="12"/>
        <v>259.65145299999995</v>
      </c>
      <c r="AK27" s="1486">
        <f t="shared" si="12"/>
        <v>260.23900000000003</v>
      </c>
      <c r="AL27" s="1487">
        <f t="shared" si="12"/>
        <v>220.35400000000001</v>
      </c>
      <c r="AM27" s="825">
        <f t="shared" si="12"/>
        <v>222.834</v>
      </c>
      <c r="AN27" s="1721">
        <f t="shared" si="12"/>
        <v>233.59900000000002</v>
      </c>
      <c r="AO27" s="825">
        <f>AO20+AO21+AO23+AO24</f>
        <v>233.739</v>
      </c>
      <c r="AP27" s="225">
        <f>AP20+AP21+AP23+AP24</f>
        <v>214.72900000000001</v>
      </c>
      <c r="AQ27" s="1621">
        <f>AP27/AO27-1</f>
        <v>-8.1330030504109252E-2</v>
      </c>
    </row>
    <row r="28" spans="1:43" x14ac:dyDescent="0.2">
      <c r="A28" s="268"/>
      <c r="B28" s="227"/>
      <c r="C28" s="227"/>
      <c r="D28" s="228"/>
      <c r="E28" s="229"/>
      <c r="F28" s="230"/>
      <c r="G28" s="230"/>
      <c r="H28" s="399"/>
      <c r="I28" s="230"/>
      <c r="J28" s="230"/>
      <c r="K28" s="373"/>
      <c r="L28" s="399"/>
      <c r="M28" s="399"/>
      <c r="N28" s="399"/>
      <c r="O28" s="399"/>
      <c r="P28" s="399"/>
      <c r="Q28" s="399"/>
      <c r="R28" s="399"/>
      <c r="S28" s="399"/>
      <c r="T28" s="399"/>
      <c r="U28" s="399"/>
      <c r="V28" s="399"/>
      <c r="W28" s="399"/>
      <c r="X28" s="399"/>
      <c r="Y28" s="399"/>
      <c r="Z28" s="399"/>
      <c r="AA28" s="399"/>
      <c r="AB28" s="399"/>
      <c r="AC28" s="399"/>
      <c r="AD28" s="399"/>
      <c r="AE28" s="399"/>
      <c r="AF28" s="399"/>
      <c r="AG28" s="399"/>
      <c r="AH28" s="399"/>
      <c r="AI28" s="399"/>
      <c r="AJ28" s="399"/>
      <c r="AK28" s="1488"/>
      <c r="AL28" s="1489"/>
      <c r="AM28" s="1325"/>
      <c r="AN28" s="1722"/>
      <c r="AO28" s="230"/>
      <c r="AP28" s="230"/>
      <c r="AQ28" s="1610"/>
    </row>
    <row r="29" spans="1:43" ht="18" x14ac:dyDescent="0.25">
      <c r="A29" s="253" t="s">
        <v>5</v>
      </c>
      <c r="B29" s="153"/>
      <c r="C29" s="153"/>
      <c r="D29" s="153"/>
      <c r="E29" s="153"/>
      <c r="F29" s="153"/>
      <c r="G29" s="153"/>
      <c r="H29" s="400"/>
      <c r="I29" s="153"/>
      <c r="J29" s="153"/>
      <c r="K29" s="232"/>
      <c r="L29" s="400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232"/>
      <c r="AG29" s="232"/>
      <c r="AH29" s="232"/>
      <c r="AI29" s="153"/>
      <c r="AJ29" s="153"/>
      <c r="AK29" s="1490"/>
      <c r="AL29" s="1491"/>
      <c r="AM29" s="232"/>
      <c r="AN29" s="1723"/>
      <c r="AO29" s="153"/>
      <c r="AP29" s="153"/>
      <c r="AQ29" s="1622"/>
    </row>
    <row r="30" spans="1:43" s="4" customFormat="1" ht="14.25" customHeight="1" x14ac:dyDescent="0.25">
      <c r="A30" s="271"/>
      <c r="B30" s="157"/>
      <c r="C30" s="157"/>
      <c r="D30" s="157"/>
      <c r="E30" s="157"/>
      <c r="F30" s="157"/>
      <c r="G30" s="157"/>
      <c r="H30" s="401"/>
      <c r="I30" s="157"/>
      <c r="J30" s="157"/>
      <c r="K30" s="233"/>
      <c r="L30" s="401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233"/>
      <c r="AG30" s="233"/>
      <c r="AH30" s="233"/>
      <c r="AI30" s="157"/>
      <c r="AJ30" s="157"/>
      <c r="AK30" s="1490"/>
      <c r="AL30" s="1491"/>
      <c r="AM30" s="233"/>
      <c r="AN30" s="1723"/>
      <c r="AO30" s="157"/>
      <c r="AP30" s="157"/>
      <c r="AQ30" s="1608"/>
    </row>
    <row r="31" spans="1:43" ht="14.25" customHeight="1" x14ac:dyDescent="0.25">
      <c r="A31" s="150" t="s">
        <v>73</v>
      </c>
      <c r="B31" s="1119">
        <f t="shared" ref="B31:W31" si="13">B32+B33+B34+B35</f>
        <v>84</v>
      </c>
      <c r="C31" s="1119">
        <f t="shared" si="13"/>
        <v>23.815999999999999</v>
      </c>
      <c r="D31" s="1119">
        <f t="shared" si="13"/>
        <v>60.042000000000002</v>
      </c>
      <c r="E31" s="1119">
        <f t="shared" si="13"/>
        <v>86.670999999999992</v>
      </c>
      <c r="F31" s="220">
        <f t="shared" si="13"/>
        <v>110</v>
      </c>
      <c r="G31" s="220">
        <f t="shared" si="13"/>
        <v>68</v>
      </c>
      <c r="H31" s="1112">
        <f t="shared" si="13"/>
        <v>100.715</v>
      </c>
      <c r="I31" s="220">
        <f t="shared" si="13"/>
        <v>76</v>
      </c>
      <c r="J31" s="220">
        <f t="shared" si="13"/>
        <v>71</v>
      </c>
      <c r="K31" s="824">
        <f t="shared" si="13"/>
        <v>65</v>
      </c>
      <c r="L31" s="1112">
        <f t="shared" si="13"/>
        <v>37.499000000000002</v>
      </c>
      <c r="M31" s="220">
        <f t="shared" si="13"/>
        <v>32</v>
      </c>
      <c r="N31" s="220">
        <f t="shared" si="13"/>
        <v>32</v>
      </c>
      <c r="O31" s="220">
        <f t="shared" si="13"/>
        <v>32</v>
      </c>
      <c r="P31" s="220">
        <f t="shared" si="13"/>
        <v>32</v>
      </c>
      <c r="Q31" s="1119">
        <f t="shared" si="13"/>
        <v>33.53</v>
      </c>
      <c r="R31" s="220">
        <f t="shared" si="13"/>
        <v>32</v>
      </c>
      <c r="S31" s="220">
        <f t="shared" si="13"/>
        <v>42</v>
      </c>
      <c r="T31" s="220">
        <f t="shared" si="13"/>
        <v>37</v>
      </c>
      <c r="U31" s="220">
        <f t="shared" si="13"/>
        <v>34</v>
      </c>
      <c r="V31" s="220">
        <f t="shared" si="13"/>
        <v>37</v>
      </c>
      <c r="W31" s="1119">
        <f t="shared" si="13"/>
        <v>59.219000000000001</v>
      </c>
      <c r="X31" s="220">
        <f t="shared" ref="X31:AN31" si="14">X32+X33+X34+X35</f>
        <v>0</v>
      </c>
      <c r="Y31" s="220">
        <f t="shared" si="14"/>
        <v>40</v>
      </c>
      <c r="Z31" s="220">
        <f t="shared" si="14"/>
        <v>42</v>
      </c>
      <c r="AA31" s="220">
        <f t="shared" si="14"/>
        <v>44</v>
      </c>
      <c r="AB31" s="1119">
        <f t="shared" si="14"/>
        <v>66.950999999999993</v>
      </c>
      <c r="AC31" s="220">
        <f t="shared" si="14"/>
        <v>50</v>
      </c>
      <c r="AD31" s="220">
        <f t="shared" si="14"/>
        <v>50</v>
      </c>
      <c r="AE31" s="220">
        <f t="shared" si="14"/>
        <v>78</v>
      </c>
      <c r="AF31" s="840">
        <f t="shared" si="14"/>
        <v>58</v>
      </c>
      <c r="AG31" s="840">
        <f t="shared" si="14"/>
        <v>58</v>
      </c>
      <c r="AH31" s="840">
        <f t="shared" si="14"/>
        <v>58</v>
      </c>
      <c r="AI31" s="1119">
        <f t="shared" si="14"/>
        <v>88.259</v>
      </c>
      <c r="AJ31" s="220">
        <f t="shared" si="14"/>
        <v>58</v>
      </c>
      <c r="AK31" s="1482">
        <f t="shared" si="14"/>
        <v>57</v>
      </c>
      <c r="AL31" s="1483">
        <f t="shared" si="14"/>
        <v>67</v>
      </c>
      <c r="AM31" s="824">
        <f t="shared" si="14"/>
        <v>67</v>
      </c>
      <c r="AN31" s="1719">
        <f t="shared" si="14"/>
        <v>67</v>
      </c>
      <c r="AO31" s="824">
        <f>AO32+AO33+AO34+AO35</f>
        <v>105</v>
      </c>
      <c r="AP31" s="220">
        <f>AP32+AP33+AP34+AP35</f>
        <v>65</v>
      </c>
      <c r="AQ31" s="1546">
        <f>AP31/AO31-1</f>
        <v>-0.38095238095238093</v>
      </c>
    </row>
    <row r="32" spans="1:43" ht="17.25" x14ac:dyDescent="0.25">
      <c r="A32" s="148" t="s">
        <v>224</v>
      </c>
      <c r="B32" s="1151">
        <v>50</v>
      </c>
      <c r="C32" s="1151">
        <v>6.8159999999999998</v>
      </c>
      <c r="D32" s="1151">
        <v>12.042</v>
      </c>
      <c r="E32" s="1151">
        <v>33.670999999999999</v>
      </c>
      <c r="F32" s="174">
        <v>60</v>
      </c>
      <c r="G32" s="174">
        <v>25</v>
      </c>
      <c r="H32" s="1236">
        <v>21.715</v>
      </c>
      <c r="I32" s="174">
        <v>20</v>
      </c>
      <c r="J32" s="174">
        <v>15</v>
      </c>
      <c r="K32" s="243">
        <v>15</v>
      </c>
      <c r="L32" s="1236">
        <v>11.499000000000001</v>
      </c>
      <c r="M32" s="174">
        <v>10</v>
      </c>
      <c r="N32" s="174">
        <v>10</v>
      </c>
      <c r="O32" s="174">
        <v>10</v>
      </c>
      <c r="P32" s="174">
        <v>10</v>
      </c>
      <c r="Q32" s="1212">
        <v>9.5299999999999994</v>
      </c>
      <c r="R32" s="1259">
        <v>10</v>
      </c>
      <c r="S32" s="1259">
        <v>20</v>
      </c>
      <c r="T32" s="1259">
        <v>15</v>
      </c>
      <c r="U32" s="1259">
        <v>12</v>
      </c>
      <c r="V32" s="1259">
        <v>10</v>
      </c>
      <c r="W32" s="1212">
        <v>10.218999999999999</v>
      </c>
      <c r="X32" s="1259"/>
      <c r="Y32" s="1259">
        <v>10</v>
      </c>
      <c r="Z32" s="1259">
        <v>12</v>
      </c>
      <c r="AA32" s="1259">
        <v>14</v>
      </c>
      <c r="AB32" s="1212">
        <v>13.951000000000001</v>
      </c>
      <c r="AC32" s="1259">
        <v>20</v>
      </c>
      <c r="AD32" s="1259">
        <v>20</v>
      </c>
      <c r="AE32" s="1206">
        <v>50</v>
      </c>
      <c r="AF32" s="1294">
        <v>30</v>
      </c>
      <c r="AG32" s="1294">
        <v>30</v>
      </c>
      <c r="AH32" s="1294">
        <v>30</v>
      </c>
      <c r="AI32" s="1206">
        <v>29.259</v>
      </c>
      <c r="AJ32" s="175">
        <v>30</v>
      </c>
      <c r="AK32" s="1346">
        <v>30</v>
      </c>
      <c r="AL32" s="1347">
        <v>40</v>
      </c>
      <c r="AM32" s="679">
        <v>40</v>
      </c>
      <c r="AN32" s="1629">
        <v>40</v>
      </c>
      <c r="AO32" s="175">
        <v>40</v>
      </c>
      <c r="AP32" s="175">
        <v>40</v>
      </c>
      <c r="AQ32" s="1547">
        <f>AP32/AO32-1</f>
        <v>0</v>
      </c>
    </row>
    <row r="33" spans="1:43" ht="17.25" x14ac:dyDescent="0.25">
      <c r="A33" s="148" t="s">
        <v>222</v>
      </c>
      <c r="B33" s="175">
        <v>9</v>
      </c>
      <c r="C33" s="175">
        <v>5</v>
      </c>
      <c r="D33" s="175">
        <v>33</v>
      </c>
      <c r="E33" s="175">
        <v>35</v>
      </c>
      <c r="F33" s="174">
        <v>30</v>
      </c>
      <c r="G33" s="174">
        <v>25</v>
      </c>
      <c r="H33" s="1235">
        <v>61</v>
      </c>
      <c r="I33" s="174">
        <v>40</v>
      </c>
      <c r="J33" s="174">
        <v>40</v>
      </c>
      <c r="K33" s="243">
        <v>35</v>
      </c>
      <c r="L33" s="1235">
        <v>9</v>
      </c>
      <c r="M33" s="174">
        <v>5</v>
      </c>
      <c r="N33" s="174">
        <v>5</v>
      </c>
      <c r="O33" s="174">
        <v>5</v>
      </c>
      <c r="P33" s="174">
        <v>5</v>
      </c>
      <c r="Q33" s="847">
        <v>7</v>
      </c>
      <c r="R33" s="174">
        <v>5</v>
      </c>
      <c r="S33" s="174">
        <v>5</v>
      </c>
      <c r="T33" s="174">
        <v>5</v>
      </c>
      <c r="U33" s="174">
        <v>5</v>
      </c>
      <c r="V33" s="174">
        <v>10</v>
      </c>
      <c r="W33" s="847">
        <v>30</v>
      </c>
      <c r="X33" s="174"/>
      <c r="Y33" s="174">
        <v>10</v>
      </c>
      <c r="Z33" s="174">
        <v>10</v>
      </c>
      <c r="AA33" s="174">
        <v>10</v>
      </c>
      <c r="AB33" s="847">
        <v>33</v>
      </c>
      <c r="AC33" s="174">
        <v>10</v>
      </c>
      <c r="AD33" s="174">
        <v>10</v>
      </c>
      <c r="AE33" s="1206">
        <v>10</v>
      </c>
      <c r="AF33" s="1294">
        <v>10</v>
      </c>
      <c r="AG33" s="1294">
        <v>10</v>
      </c>
      <c r="AH33" s="1294">
        <v>10</v>
      </c>
      <c r="AI33" s="175">
        <v>41</v>
      </c>
      <c r="AJ33" s="175">
        <v>10</v>
      </c>
      <c r="AK33" s="1346">
        <v>10</v>
      </c>
      <c r="AL33" s="1347">
        <v>10</v>
      </c>
      <c r="AM33" s="679">
        <v>10</v>
      </c>
      <c r="AN33" s="1629">
        <v>10</v>
      </c>
      <c r="AO33" s="679">
        <v>48</v>
      </c>
      <c r="AP33" s="175">
        <v>10</v>
      </c>
      <c r="AQ33" s="1547">
        <f>AP33/AO33-1</f>
        <v>-0.79166666666666663</v>
      </c>
    </row>
    <row r="34" spans="1:43" ht="15" x14ac:dyDescent="0.25">
      <c r="A34" s="148" t="s">
        <v>17</v>
      </c>
      <c r="B34" s="175">
        <v>13</v>
      </c>
      <c r="C34" s="175">
        <v>6</v>
      </c>
      <c r="D34" s="175">
        <v>7</v>
      </c>
      <c r="E34" s="175">
        <v>8</v>
      </c>
      <c r="F34" s="174">
        <v>10</v>
      </c>
      <c r="G34" s="174">
        <v>10</v>
      </c>
      <c r="H34" s="1235">
        <v>10</v>
      </c>
      <c r="I34" s="174">
        <v>10</v>
      </c>
      <c r="J34" s="174">
        <v>10</v>
      </c>
      <c r="K34" s="243">
        <v>10</v>
      </c>
      <c r="L34" s="1235">
        <v>10</v>
      </c>
      <c r="M34" s="174">
        <v>10</v>
      </c>
      <c r="N34" s="174">
        <v>10</v>
      </c>
      <c r="O34" s="174">
        <v>10</v>
      </c>
      <c r="P34" s="174">
        <v>10</v>
      </c>
      <c r="Q34" s="847">
        <v>10</v>
      </c>
      <c r="R34" s="174">
        <v>10</v>
      </c>
      <c r="S34" s="174">
        <v>10</v>
      </c>
      <c r="T34" s="174">
        <v>10</v>
      </c>
      <c r="U34" s="174">
        <v>10</v>
      </c>
      <c r="V34" s="174">
        <v>10</v>
      </c>
      <c r="W34" s="847">
        <v>10</v>
      </c>
      <c r="X34" s="174"/>
      <c r="Y34" s="174">
        <v>10</v>
      </c>
      <c r="Z34" s="174">
        <v>10</v>
      </c>
      <c r="AA34" s="174">
        <v>10</v>
      </c>
      <c r="AB34" s="847">
        <v>10</v>
      </c>
      <c r="AC34" s="174">
        <v>10</v>
      </c>
      <c r="AD34" s="174">
        <v>10</v>
      </c>
      <c r="AE34" s="1206">
        <v>10</v>
      </c>
      <c r="AF34" s="1294">
        <v>10</v>
      </c>
      <c r="AG34" s="1294">
        <v>10</v>
      </c>
      <c r="AH34" s="1294">
        <v>10</v>
      </c>
      <c r="AI34" s="175">
        <v>10</v>
      </c>
      <c r="AJ34" s="175">
        <v>10</v>
      </c>
      <c r="AK34" s="1346">
        <v>10</v>
      </c>
      <c r="AL34" s="1347">
        <v>10</v>
      </c>
      <c r="AM34" s="679">
        <v>10</v>
      </c>
      <c r="AN34" s="1629">
        <v>10</v>
      </c>
      <c r="AO34" s="679">
        <v>10</v>
      </c>
      <c r="AP34" s="175">
        <v>10</v>
      </c>
      <c r="AQ34" s="1547">
        <f>AP34/AO34-1</f>
        <v>0</v>
      </c>
    </row>
    <row r="35" spans="1:43" ht="15" x14ac:dyDescent="0.25">
      <c r="A35" s="148" t="s">
        <v>7</v>
      </c>
      <c r="B35" s="175">
        <v>12</v>
      </c>
      <c r="C35" s="175">
        <v>6</v>
      </c>
      <c r="D35" s="175">
        <v>8</v>
      </c>
      <c r="E35" s="175">
        <v>10</v>
      </c>
      <c r="F35" s="174">
        <v>10</v>
      </c>
      <c r="G35" s="174">
        <v>8</v>
      </c>
      <c r="H35" s="1235">
        <v>8</v>
      </c>
      <c r="I35" s="174">
        <v>6</v>
      </c>
      <c r="J35" s="174">
        <v>6</v>
      </c>
      <c r="K35" s="243">
        <v>5</v>
      </c>
      <c r="L35" s="1235">
        <v>7</v>
      </c>
      <c r="M35" s="174">
        <v>7</v>
      </c>
      <c r="N35" s="174">
        <v>7</v>
      </c>
      <c r="O35" s="174">
        <v>7</v>
      </c>
      <c r="P35" s="174">
        <v>7</v>
      </c>
      <c r="Q35" s="847">
        <v>7</v>
      </c>
      <c r="R35" s="174">
        <v>7</v>
      </c>
      <c r="S35" s="174">
        <v>7</v>
      </c>
      <c r="T35" s="174">
        <v>7</v>
      </c>
      <c r="U35" s="174">
        <v>7</v>
      </c>
      <c r="V35" s="174">
        <v>7</v>
      </c>
      <c r="W35" s="847">
        <v>9</v>
      </c>
      <c r="X35" s="174"/>
      <c r="Y35" s="174">
        <v>10</v>
      </c>
      <c r="Z35" s="174">
        <v>10</v>
      </c>
      <c r="AA35" s="174">
        <v>10</v>
      </c>
      <c r="AB35" s="847">
        <v>10</v>
      </c>
      <c r="AC35" s="174">
        <v>10</v>
      </c>
      <c r="AD35" s="174">
        <v>10</v>
      </c>
      <c r="AE35" s="1206">
        <v>8</v>
      </c>
      <c r="AF35" s="1294">
        <v>8</v>
      </c>
      <c r="AG35" s="1294">
        <v>8</v>
      </c>
      <c r="AH35" s="1294">
        <v>8</v>
      </c>
      <c r="AI35" s="175">
        <v>8</v>
      </c>
      <c r="AJ35" s="175">
        <v>8</v>
      </c>
      <c r="AK35" s="1346">
        <v>7</v>
      </c>
      <c r="AL35" s="1347">
        <v>7</v>
      </c>
      <c r="AM35" s="679">
        <v>7</v>
      </c>
      <c r="AN35" s="1629">
        <v>7</v>
      </c>
      <c r="AO35" s="679">
        <v>7</v>
      </c>
      <c r="AP35" s="175">
        <v>5</v>
      </c>
      <c r="AQ35" s="1547">
        <f>AP35/AO35-1</f>
        <v>-0.2857142857142857</v>
      </c>
    </row>
    <row r="36" spans="1:43" ht="15" x14ac:dyDescent="0.25">
      <c r="A36" s="149"/>
      <c r="B36" s="174"/>
      <c r="C36" s="174"/>
      <c r="D36" s="174"/>
      <c r="E36" s="174"/>
      <c r="F36" s="174"/>
      <c r="G36" s="174"/>
      <c r="H36" s="388"/>
      <c r="I36" s="174"/>
      <c r="J36" s="174"/>
      <c r="K36" s="243"/>
      <c r="L36" s="388"/>
      <c r="M36" s="174"/>
      <c r="N36" s="174"/>
      <c r="O36" s="174"/>
      <c r="P36" s="174"/>
      <c r="Q36" s="847"/>
      <c r="R36" s="174"/>
      <c r="S36" s="174"/>
      <c r="T36" s="174"/>
      <c r="U36" s="174"/>
      <c r="V36" s="174"/>
      <c r="W36" s="847"/>
      <c r="X36" s="174"/>
      <c r="Y36" s="174"/>
      <c r="Z36" s="174"/>
      <c r="AA36" s="174"/>
      <c r="AB36" s="847"/>
      <c r="AC36" s="174"/>
      <c r="AD36" s="174"/>
      <c r="AE36" s="1206"/>
      <c r="AF36" s="1294"/>
      <c r="AG36" s="1294"/>
      <c r="AH36" s="1294"/>
      <c r="AI36" s="175"/>
      <c r="AJ36" s="175"/>
      <c r="AK36" s="1346"/>
      <c r="AL36" s="1347"/>
      <c r="AM36" s="679"/>
      <c r="AN36" s="1629"/>
      <c r="AO36" s="175"/>
      <c r="AP36" s="175"/>
      <c r="AQ36" s="1547"/>
    </row>
    <row r="37" spans="1:43" ht="15" x14ac:dyDescent="0.25">
      <c r="A37" s="150" t="s">
        <v>9</v>
      </c>
      <c r="B37" s="1112">
        <f t="shared" ref="B37:AI37" si="15">B38+B39</f>
        <v>190.63</v>
      </c>
      <c r="C37" s="1112">
        <f t="shared" si="15"/>
        <v>203.541</v>
      </c>
      <c r="D37" s="1112">
        <f t="shared" si="15"/>
        <v>216.083</v>
      </c>
      <c r="E37" s="1112">
        <f t="shared" si="15"/>
        <v>276.69100000000003</v>
      </c>
      <c r="F37" s="1112">
        <f t="shared" si="15"/>
        <v>310</v>
      </c>
      <c r="G37" s="1112">
        <f t="shared" si="15"/>
        <v>335</v>
      </c>
      <c r="H37" s="1112">
        <f t="shared" si="15"/>
        <v>306.57599999999996</v>
      </c>
      <c r="I37" s="1112">
        <f t="shared" si="15"/>
        <v>220</v>
      </c>
      <c r="J37" s="1112">
        <f t="shared" si="15"/>
        <v>210</v>
      </c>
      <c r="K37" s="1112">
        <f t="shared" si="15"/>
        <v>225</v>
      </c>
      <c r="L37" s="1112">
        <f t="shared" si="15"/>
        <v>260.54199999999997</v>
      </c>
      <c r="M37" s="1112">
        <f t="shared" si="15"/>
        <v>210</v>
      </c>
      <c r="N37" s="1112">
        <f t="shared" si="15"/>
        <v>210</v>
      </c>
      <c r="O37" s="1112">
        <f t="shared" si="15"/>
        <v>215</v>
      </c>
      <c r="P37" s="1112">
        <f t="shared" si="15"/>
        <v>210</v>
      </c>
      <c r="Q37" s="1112">
        <f t="shared" si="15"/>
        <v>220.08599999999998</v>
      </c>
      <c r="R37" s="1112">
        <f t="shared" si="15"/>
        <v>210</v>
      </c>
      <c r="S37" s="1112">
        <f t="shared" si="15"/>
        <v>180</v>
      </c>
      <c r="T37" s="1112">
        <f t="shared" si="15"/>
        <v>160</v>
      </c>
      <c r="U37" s="1112">
        <f t="shared" si="15"/>
        <v>160</v>
      </c>
      <c r="V37" s="1112">
        <f t="shared" si="15"/>
        <v>165</v>
      </c>
      <c r="W37" s="1112">
        <f t="shared" si="15"/>
        <v>156.51899999999998</v>
      </c>
      <c r="X37" s="1112">
        <f t="shared" si="15"/>
        <v>0</v>
      </c>
      <c r="Y37" s="1112">
        <f t="shared" si="15"/>
        <v>175</v>
      </c>
      <c r="Z37" s="1112">
        <f t="shared" si="15"/>
        <v>160</v>
      </c>
      <c r="AA37" s="1112">
        <f t="shared" si="15"/>
        <v>131</v>
      </c>
      <c r="AB37" s="1112">
        <f t="shared" si="15"/>
        <v>132.70400000000001</v>
      </c>
      <c r="AC37" s="1112">
        <f t="shared" si="15"/>
        <v>210</v>
      </c>
      <c r="AD37" s="1112">
        <f t="shared" si="15"/>
        <v>170</v>
      </c>
      <c r="AE37" s="1112">
        <f t="shared" si="15"/>
        <v>110</v>
      </c>
      <c r="AF37" s="1112">
        <f t="shared" si="15"/>
        <v>100</v>
      </c>
      <c r="AG37" s="1112">
        <f t="shared" si="15"/>
        <v>95</v>
      </c>
      <c r="AH37" s="1112">
        <f t="shared" si="15"/>
        <v>95</v>
      </c>
      <c r="AI37" s="1112">
        <f t="shared" si="15"/>
        <v>92.837999999999994</v>
      </c>
      <c r="AJ37" s="1112">
        <f t="shared" ref="AJ37:AP37" si="16">AJ38+AJ39</f>
        <v>75</v>
      </c>
      <c r="AK37" s="1492">
        <f t="shared" si="16"/>
        <v>90</v>
      </c>
      <c r="AL37" s="1445">
        <f t="shared" si="16"/>
        <v>90</v>
      </c>
      <c r="AM37" s="1320">
        <f t="shared" si="16"/>
        <v>100</v>
      </c>
      <c r="AN37" s="1700">
        <f t="shared" si="16"/>
        <v>90</v>
      </c>
      <c r="AO37" s="1320">
        <f>AO38+AO39</f>
        <v>92.4</v>
      </c>
      <c r="AP37" s="1119">
        <f t="shared" si="16"/>
        <v>100</v>
      </c>
      <c r="AQ37" s="1546">
        <f>AP37/AO37-1</f>
        <v>8.2251082251082241E-2</v>
      </c>
    </row>
    <row r="38" spans="1:43" ht="15" x14ac:dyDescent="0.25">
      <c r="A38" s="148" t="s">
        <v>10</v>
      </c>
      <c r="B38" s="1151">
        <v>49.1</v>
      </c>
      <c r="C38" s="1151">
        <v>25.042000000000002</v>
      </c>
      <c r="D38" s="1151">
        <v>17.559000000000001</v>
      </c>
      <c r="E38" s="1151">
        <v>18.881</v>
      </c>
      <c r="F38" s="174">
        <v>50</v>
      </c>
      <c r="G38" s="174">
        <v>35</v>
      </c>
      <c r="H38" s="1150">
        <v>34.433</v>
      </c>
      <c r="I38" s="174">
        <v>20</v>
      </c>
      <c r="J38" s="174">
        <v>20</v>
      </c>
      <c r="K38" s="243">
        <v>25</v>
      </c>
      <c r="L38" s="1150">
        <v>28.914000000000001</v>
      </c>
      <c r="M38" s="174">
        <v>25</v>
      </c>
      <c r="N38" s="174">
        <v>20</v>
      </c>
      <c r="O38" s="174">
        <v>20</v>
      </c>
      <c r="P38" s="174">
        <v>25</v>
      </c>
      <c r="Q38" s="1206">
        <v>22.117000000000001</v>
      </c>
      <c r="R38" s="1259">
        <v>25</v>
      </c>
      <c r="S38" s="1259">
        <v>20</v>
      </c>
      <c r="T38" s="1259">
        <v>20</v>
      </c>
      <c r="U38" s="1259">
        <v>20</v>
      </c>
      <c r="V38" s="1259">
        <v>15</v>
      </c>
      <c r="W38" s="1206">
        <v>13.872999999999999</v>
      </c>
      <c r="X38" s="1259"/>
      <c r="Y38" s="1259">
        <v>15</v>
      </c>
      <c r="Z38" s="1259">
        <v>10</v>
      </c>
      <c r="AA38" s="1259">
        <v>11</v>
      </c>
      <c r="AB38" s="1206">
        <v>10.826000000000001</v>
      </c>
      <c r="AC38" s="1259">
        <v>10</v>
      </c>
      <c r="AD38" s="1259">
        <v>20</v>
      </c>
      <c r="AE38" s="1206">
        <v>40</v>
      </c>
      <c r="AF38" s="1294">
        <v>25</v>
      </c>
      <c r="AG38" s="1294">
        <v>15</v>
      </c>
      <c r="AH38" s="1294">
        <v>15</v>
      </c>
      <c r="AI38" s="1206">
        <v>15.641999999999999</v>
      </c>
      <c r="AJ38" s="175">
        <v>15</v>
      </c>
      <c r="AK38" s="1346">
        <v>15</v>
      </c>
      <c r="AL38" s="1347">
        <v>20</v>
      </c>
      <c r="AM38" s="679">
        <v>30</v>
      </c>
      <c r="AN38" s="1629">
        <v>30</v>
      </c>
      <c r="AO38" s="1732">
        <v>31</v>
      </c>
      <c r="AP38" s="175">
        <v>30</v>
      </c>
      <c r="AQ38" s="1547">
        <f>AP38/AO38-1</f>
        <v>-3.2258064516129004E-2</v>
      </c>
    </row>
    <row r="39" spans="1:43" ht="15" x14ac:dyDescent="0.25">
      <c r="A39" s="148" t="s">
        <v>3</v>
      </c>
      <c r="B39" s="1151">
        <v>141.53</v>
      </c>
      <c r="C39" s="1151">
        <v>178.499</v>
      </c>
      <c r="D39" s="1151">
        <v>198.524</v>
      </c>
      <c r="E39" s="1151">
        <v>257.81</v>
      </c>
      <c r="F39" s="174">
        <v>260</v>
      </c>
      <c r="G39" s="174">
        <v>300</v>
      </c>
      <c r="H39" s="1150">
        <v>272.14299999999997</v>
      </c>
      <c r="I39" s="174">
        <v>200</v>
      </c>
      <c r="J39" s="174">
        <v>190</v>
      </c>
      <c r="K39" s="243">
        <v>200</v>
      </c>
      <c r="L39" s="1150">
        <v>231.62799999999999</v>
      </c>
      <c r="M39" s="174">
        <v>185</v>
      </c>
      <c r="N39" s="174">
        <v>190</v>
      </c>
      <c r="O39" s="174">
        <v>195</v>
      </c>
      <c r="P39" s="174">
        <v>185</v>
      </c>
      <c r="Q39" s="1206">
        <v>197.96899999999999</v>
      </c>
      <c r="R39" s="1259">
        <v>185</v>
      </c>
      <c r="S39" s="1259">
        <v>160</v>
      </c>
      <c r="T39" s="1259">
        <v>140</v>
      </c>
      <c r="U39" s="1259">
        <v>140</v>
      </c>
      <c r="V39" s="1259">
        <v>150</v>
      </c>
      <c r="W39" s="1206">
        <v>142.64599999999999</v>
      </c>
      <c r="X39" s="1259"/>
      <c r="Y39" s="1259">
        <v>160</v>
      </c>
      <c r="Z39" s="1259">
        <v>150</v>
      </c>
      <c r="AA39" s="1259">
        <v>120</v>
      </c>
      <c r="AB39" s="1206">
        <v>121.878</v>
      </c>
      <c r="AC39" s="1259">
        <v>200</v>
      </c>
      <c r="AD39" s="1259">
        <v>150</v>
      </c>
      <c r="AE39" s="1206">
        <v>70</v>
      </c>
      <c r="AF39" s="1294">
        <v>75</v>
      </c>
      <c r="AG39" s="1294">
        <v>80</v>
      </c>
      <c r="AH39" s="1294">
        <v>80</v>
      </c>
      <c r="AI39" s="1206">
        <v>77.195999999999998</v>
      </c>
      <c r="AJ39" s="175">
        <v>60</v>
      </c>
      <c r="AK39" s="1346">
        <v>75</v>
      </c>
      <c r="AL39" s="1347">
        <v>70</v>
      </c>
      <c r="AM39" s="679">
        <v>70</v>
      </c>
      <c r="AN39" s="1629">
        <v>60</v>
      </c>
      <c r="AO39" s="1732">
        <v>61.4</v>
      </c>
      <c r="AP39" s="175">
        <v>70</v>
      </c>
      <c r="AQ39" s="1547">
        <f>AP39/AO39-1</f>
        <v>0.14006514657980462</v>
      </c>
    </row>
    <row r="40" spans="1:43" ht="18" customHeight="1" x14ac:dyDescent="0.25">
      <c r="A40" s="151" t="s">
        <v>74</v>
      </c>
      <c r="B40" s="1238">
        <f t="shared" ref="B40:H40" si="17">B31+B37</f>
        <v>274.63</v>
      </c>
      <c r="C40" s="1238">
        <f t="shared" si="17"/>
        <v>227.357</v>
      </c>
      <c r="D40" s="1238">
        <f t="shared" si="17"/>
        <v>276.125</v>
      </c>
      <c r="E40" s="1238">
        <f t="shared" si="17"/>
        <v>363.36200000000002</v>
      </c>
      <c r="F40" s="1238">
        <f t="shared" si="17"/>
        <v>420</v>
      </c>
      <c r="G40" s="1238">
        <f t="shared" si="17"/>
        <v>403</v>
      </c>
      <c r="H40" s="1239">
        <f t="shared" si="17"/>
        <v>407.29099999999994</v>
      </c>
      <c r="I40" s="234">
        <v>296</v>
      </c>
      <c r="J40" s="234">
        <v>281</v>
      </c>
      <c r="K40" s="374">
        <v>290</v>
      </c>
      <c r="L40" s="404">
        <f>L31+L37</f>
        <v>298.041</v>
      </c>
      <c r="M40" s="234">
        <v>242</v>
      </c>
      <c r="N40" s="234">
        <v>242</v>
      </c>
      <c r="O40" s="234">
        <v>247</v>
      </c>
      <c r="P40" s="234">
        <v>242</v>
      </c>
      <c r="Q40" s="240">
        <f t="shared" ref="Q40:AI40" si="18">Q31+Q37</f>
        <v>253.61599999999999</v>
      </c>
      <c r="R40" s="239">
        <f t="shared" si="18"/>
        <v>242</v>
      </c>
      <c r="S40" s="239">
        <f t="shared" si="18"/>
        <v>222</v>
      </c>
      <c r="T40" s="239">
        <f t="shared" si="18"/>
        <v>197</v>
      </c>
      <c r="U40" s="239">
        <f t="shared" si="18"/>
        <v>194</v>
      </c>
      <c r="V40" s="239">
        <f t="shared" si="18"/>
        <v>202</v>
      </c>
      <c r="W40" s="240">
        <f t="shared" si="18"/>
        <v>215.73799999999997</v>
      </c>
      <c r="X40" s="239">
        <f t="shared" si="18"/>
        <v>0</v>
      </c>
      <c r="Y40" s="239">
        <f t="shared" si="18"/>
        <v>215</v>
      </c>
      <c r="Z40" s="239">
        <f t="shared" si="18"/>
        <v>202</v>
      </c>
      <c r="AA40" s="239">
        <f t="shared" si="18"/>
        <v>175</v>
      </c>
      <c r="AB40" s="240">
        <f t="shared" si="18"/>
        <v>199.655</v>
      </c>
      <c r="AC40" s="239">
        <f t="shared" si="18"/>
        <v>260</v>
      </c>
      <c r="AD40" s="239">
        <f t="shared" si="18"/>
        <v>220</v>
      </c>
      <c r="AE40" s="240">
        <f t="shared" si="18"/>
        <v>188</v>
      </c>
      <c r="AF40" s="826">
        <f t="shared" si="18"/>
        <v>158</v>
      </c>
      <c r="AG40" s="826">
        <f t="shared" si="18"/>
        <v>153</v>
      </c>
      <c r="AH40" s="826">
        <f t="shared" si="18"/>
        <v>153</v>
      </c>
      <c r="AI40" s="240">
        <f t="shared" si="18"/>
        <v>181.09699999999998</v>
      </c>
      <c r="AJ40" s="235">
        <f t="shared" ref="AJ40:AP40" si="19">AJ31+AJ37</f>
        <v>133</v>
      </c>
      <c r="AK40" s="1493">
        <f t="shared" si="19"/>
        <v>147</v>
      </c>
      <c r="AL40" s="1494">
        <f t="shared" si="19"/>
        <v>157</v>
      </c>
      <c r="AM40" s="1326">
        <f t="shared" si="19"/>
        <v>167</v>
      </c>
      <c r="AN40" s="1724">
        <f t="shared" si="19"/>
        <v>157</v>
      </c>
      <c r="AO40" s="825">
        <f>AO31+AO37</f>
        <v>197.4</v>
      </c>
      <c r="AP40" s="235">
        <f t="shared" si="19"/>
        <v>165</v>
      </c>
      <c r="AQ40" s="1613">
        <f>AP40/AO40-1</f>
        <v>-0.16413373860182379</v>
      </c>
    </row>
    <row r="41" spans="1:43" x14ac:dyDescent="0.2">
      <c r="A41" s="152"/>
      <c r="B41" s="236"/>
      <c r="C41" s="236"/>
      <c r="D41" s="236"/>
      <c r="E41" s="237"/>
      <c r="F41" s="236"/>
      <c r="G41" s="236"/>
      <c r="H41" s="403"/>
      <c r="I41" s="236"/>
      <c r="J41" s="236"/>
      <c r="K41" s="375"/>
      <c r="L41" s="403"/>
      <c r="M41" s="403"/>
      <c r="N41" s="403"/>
      <c r="O41" s="403"/>
      <c r="P41" s="403"/>
      <c r="Q41" s="403"/>
      <c r="R41" s="403"/>
      <c r="S41" s="403"/>
      <c r="T41" s="403"/>
      <c r="U41" s="403"/>
      <c r="V41" s="403"/>
      <c r="W41" s="403"/>
      <c r="X41" s="403"/>
      <c r="Y41" s="403"/>
      <c r="Z41" s="403"/>
      <c r="AA41" s="403"/>
      <c r="AB41" s="403"/>
      <c r="AC41" s="403"/>
      <c r="AD41" s="403"/>
      <c r="AE41" s="403"/>
      <c r="AF41" s="403"/>
      <c r="AG41" s="403"/>
      <c r="AH41" s="403"/>
      <c r="AI41" s="403"/>
      <c r="AJ41" s="403"/>
      <c r="AK41" s="1495"/>
      <c r="AL41" s="1496"/>
      <c r="AM41" s="1327"/>
      <c r="AN41" s="1725"/>
      <c r="AO41" s="236"/>
      <c r="AP41" s="236"/>
      <c r="AQ41" s="1610"/>
    </row>
    <row r="42" spans="1:43" ht="21" x14ac:dyDescent="0.25">
      <c r="A42" s="151" t="s">
        <v>225</v>
      </c>
      <c r="B42" s="1238">
        <f t="shared" ref="B42:AA42" si="20">B27-B40</f>
        <v>19.955000000000041</v>
      </c>
      <c r="C42" s="1238">
        <f t="shared" si="20"/>
        <v>10.708000000000027</v>
      </c>
      <c r="D42" s="1238">
        <f t="shared" si="20"/>
        <v>18.769000000000062</v>
      </c>
      <c r="E42" s="1238">
        <f t="shared" si="20"/>
        <v>43.260000000000048</v>
      </c>
      <c r="F42" s="1238">
        <f t="shared" si="20"/>
        <v>58</v>
      </c>
      <c r="G42" s="1238">
        <f t="shared" si="20"/>
        <v>43.245999999999981</v>
      </c>
      <c r="H42" s="1239">
        <f t="shared" si="20"/>
        <v>44.736000000000104</v>
      </c>
      <c r="I42" s="1238">
        <f t="shared" si="20"/>
        <v>40.029999999999973</v>
      </c>
      <c r="J42" s="1238">
        <f t="shared" si="20"/>
        <v>54.470000000000027</v>
      </c>
      <c r="K42" s="1240">
        <f t="shared" si="20"/>
        <v>31</v>
      </c>
      <c r="L42" s="1239">
        <f t="shared" si="20"/>
        <v>22.472000000000151</v>
      </c>
      <c r="M42" s="1238">
        <f t="shared" si="20"/>
        <v>24</v>
      </c>
      <c r="N42" s="1238">
        <f t="shared" si="20"/>
        <v>25</v>
      </c>
      <c r="O42" s="1238">
        <f t="shared" si="20"/>
        <v>22</v>
      </c>
      <c r="P42" s="1238">
        <f t="shared" si="20"/>
        <v>27</v>
      </c>
      <c r="Q42" s="1238">
        <f>SUM(Q43:Q44)</f>
        <v>12.603999999999999</v>
      </c>
      <c r="R42" s="1238">
        <f t="shared" si="20"/>
        <v>21.800000000000011</v>
      </c>
      <c r="S42" s="1238">
        <f t="shared" si="20"/>
        <v>28</v>
      </c>
      <c r="T42" s="1238">
        <f t="shared" si="20"/>
        <v>25</v>
      </c>
      <c r="U42" s="1238">
        <f t="shared" si="20"/>
        <v>32</v>
      </c>
      <c r="V42" s="1238">
        <f t="shared" si="20"/>
        <v>26</v>
      </c>
      <c r="W42" s="1238">
        <f>SUM(W43:W44)</f>
        <v>12.923</v>
      </c>
      <c r="X42" s="1238">
        <f t="shared" si="20"/>
        <v>26</v>
      </c>
      <c r="Y42" s="1238">
        <f t="shared" si="20"/>
        <v>32</v>
      </c>
      <c r="Z42" s="1238">
        <f t="shared" si="20"/>
        <v>47</v>
      </c>
      <c r="AA42" s="1238">
        <f t="shared" si="20"/>
        <v>71</v>
      </c>
      <c r="AB42" s="1238">
        <f>SUM(AB43:AB44)</f>
        <v>34.367000000000004</v>
      </c>
      <c r="AC42" s="239">
        <v>77</v>
      </c>
      <c r="AD42" s="239">
        <v>83</v>
      </c>
      <c r="AE42" s="240">
        <v>52</v>
      </c>
      <c r="AF42" s="826">
        <f t="shared" ref="AF42:AN42" si="21">AF27-AF40</f>
        <v>82</v>
      </c>
      <c r="AG42" s="826">
        <f t="shared" si="21"/>
        <v>82</v>
      </c>
      <c r="AH42" s="826">
        <f t="shared" si="21"/>
        <v>78.367000000000019</v>
      </c>
      <c r="AI42" s="240">
        <f>SUM(AI43:AI44)</f>
        <v>60.239000000000004</v>
      </c>
      <c r="AJ42" s="240">
        <f t="shared" si="21"/>
        <v>126.65145299999995</v>
      </c>
      <c r="AK42" s="1497">
        <f t="shared" si="21"/>
        <v>113.23900000000003</v>
      </c>
      <c r="AL42" s="1498">
        <f t="shared" si="21"/>
        <v>63.354000000000013</v>
      </c>
      <c r="AM42" s="826">
        <f t="shared" si="21"/>
        <v>55.834000000000003</v>
      </c>
      <c r="AN42" s="1726">
        <f t="shared" si="21"/>
        <v>76.599000000000018</v>
      </c>
      <c r="AO42" s="826">
        <f>SUM(AO43:AO44)</f>
        <v>36.4</v>
      </c>
      <c r="AP42" s="240">
        <f>AP27-AP40</f>
        <v>49.729000000000013</v>
      </c>
      <c r="AQ42" s="1615">
        <f>AP42/AO42-1</f>
        <v>0.3661813186813192</v>
      </c>
    </row>
    <row r="43" spans="1:43" ht="14.25" x14ac:dyDescent="0.2">
      <c r="A43" s="148" t="s">
        <v>11</v>
      </c>
      <c r="B43" s="1202">
        <v>18.946999999999999</v>
      </c>
      <c r="C43" s="1202">
        <v>9.66</v>
      </c>
      <c r="D43" s="1202">
        <v>17.847999999999999</v>
      </c>
      <c r="E43" s="1244">
        <v>42.363</v>
      </c>
      <c r="F43" s="236"/>
      <c r="G43" s="236"/>
      <c r="H43" s="1150">
        <v>44.929000000000002</v>
      </c>
      <c r="I43" s="236"/>
      <c r="J43" s="236"/>
      <c r="K43" s="375"/>
      <c r="L43" s="1150">
        <v>21.890999999999998</v>
      </c>
      <c r="M43" s="174"/>
      <c r="N43" s="174"/>
      <c r="O43" s="174"/>
      <c r="P43" s="174"/>
      <c r="Q43" s="1206">
        <v>12.372</v>
      </c>
      <c r="R43" s="1259"/>
      <c r="S43" s="1259"/>
      <c r="T43" s="1259"/>
      <c r="U43" s="1259"/>
      <c r="V43" s="1259"/>
      <c r="W43" s="1206">
        <v>12.388999999999999</v>
      </c>
      <c r="X43" s="1259"/>
      <c r="Y43" s="1259"/>
      <c r="Z43" s="1259"/>
      <c r="AA43" s="1259"/>
      <c r="AB43" s="1206">
        <v>33.734000000000002</v>
      </c>
      <c r="AC43" s="1259"/>
      <c r="AD43" s="1259"/>
      <c r="AE43" s="1259"/>
      <c r="AF43" s="1295"/>
      <c r="AG43" s="1295"/>
      <c r="AH43" s="1295"/>
      <c r="AI43" s="1206">
        <v>59.219000000000001</v>
      </c>
      <c r="AJ43" s="175"/>
      <c r="AK43" s="1346"/>
      <c r="AL43" s="1347"/>
      <c r="AM43" s="679"/>
      <c r="AN43" s="1629"/>
      <c r="AO43" s="1732">
        <v>34</v>
      </c>
      <c r="AP43" s="175"/>
      <c r="AQ43" s="1610"/>
    </row>
    <row r="44" spans="1:43" ht="14.25" x14ac:dyDescent="0.2">
      <c r="A44" s="710" t="s">
        <v>12</v>
      </c>
      <c r="B44" s="1241">
        <v>0.54400000000000004</v>
      </c>
      <c r="C44" s="1241">
        <v>0.65900000000000003</v>
      </c>
      <c r="D44" s="1241">
        <v>0.65200000000000002</v>
      </c>
      <c r="E44" s="1245">
        <v>0.70599999999999996</v>
      </c>
      <c r="F44" s="711"/>
      <c r="G44" s="711"/>
      <c r="H44" s="1237">
        <v>0.48299999999999998</v>
      </c>
      <c r="I44" s="711"/>
      <c r="J44" s="711"/>
      <c r="K44" s="713"/>
      <c r="L44" s="1237">
        <v>0.23200000000000001</v>
      </c>
      <c r="M44" s="244"/>
      <c r="N44" s="244"/>
      <c r="O44" s="244"/>
      <c r="P44" s="244"/>
      <c r="Q44" s="1296">
        <v>0.23200000000000001</v>
      </c>
      <c r="R44" s="1297"/>
      <c r="S44" s="1297"/>
      <c r="T44" s="1297"/>
      <c r="U44" s="1297"/>
      <c r="V44" s="1297"/>
      <c r="W44" s="1296">
        <v>0.53400000000000003</v>
      </c>
      <c r="X44" s="1297"/>
      <c r="Y44" s="1297"/>
      <c r="Z44" s="1297"/>
      <c r="AA44" s="1297"/>
      <c r="AB44" s="1296">
        <v>0.63300000000000001</v>
      </c>
      <c r="AC44" s="1297"/>
      <c r="AD44" s="1297"/>
      <c r="AE44" s="1297"/>
      <c r="AF44" s="1298"/>
      <c r="AG44" s="1298"/>
      <c r="AH44" s="1298"/>
      <c r="AI44" s="1296">
        <v>1.02</v>
      </c>
      <c r="AJ44" s="715"/>
      <c r="AK44" s="1499"/>
      <c r="AL44" s="1500"/>
      <c r="AM44" s="1328"/>
      <c r="AN44" s="1727"/>
      <c r="AO44" s="1736">
        <v>2.4</v>
      </c>
      <c r="AP44" s="715"/>
      <c r="AQ44" s="1617"/>
    </row>
    <row r="45" spans="1:43" x14ac:dyDescent="0.2">
      <c r="A45" s="1109" t="s">
        <v>177</v>
      </c>
      <c r="B45" s="4"/>
      <c r="C45" s="4"/>
      <c r="D45" s="1243"/>
      <c r="E45" s="4"/>
      <c r="F45" s="4"/>
      <c r="G45" s="4"/>
      <c r="H45" s="4"/>
      <c r="I45" s="4"/>
      <c r="J45" s="4"/>
      <c r="K45" s="4"/>
      <c r="L45" s="1111"/>
      <c r="M45" s="1111"/>
      <c r="N45" s="1111"/>
      <c r="O45" s="1111"/>
      <c r="P45" s="1111"/>
      <c r="Q45" s="1111"/>
      <c r="R45" s="1111"/>
      <c r="S45" s="1111"/>
      <c r="T45" s="1111"/>
      <c r="U45" s="1111"/>
      <c r="V45" s="1111"/>
      <c r="W45" s="1111"/>
      <c r="X45" s="1111"/>
      <c r="Y45" s="1111"/>
      <c r="Z45" s="1111"/>
      <c r="AA45" s="1111"/>
      <c r="AB45" s="1111"/>
      <c r="AC45" s="1111"/>
      <c r="AD45" s="1111"/>
      <c r="AE45" s="1111"/>
      <c r="AF45" s="1111"/>
      <c r="AG45" s="1111"/>
      <c r="AH45" s="1111"/>
      <c r="AI45" s="1111"/>
      <c r="AJ45" s="1111"/>
      <c r="AK45" s="1111"/>
      <c r="AL45" s="1111"/>
      <c r="AM45" s="1111"/>
      <c r="AN45" s="1111"/>
      <c r="AO45" s="1111"/>
      <c r="AP45" s="1111"/>
    </row>
    <row r="46" spans="1:43" ht="14.25" x14ac:dyDescent="0.2">
      <c r="A46" s="1107" t="s">
        <v>215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43" ht="14.25" x14ac:dyDescent="0.2">
      <c r="A47" s="1107" t="s">
        <v>184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43" ht="14.25" x14ac:dyDescent="0.2">
      <c r="A48" s="1107" t="s">
        <v>187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42" ht="14.25" x14ac:dyDescent="0.2">
      <c r="A49" s="1108" t="s">
        <v>227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42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42" s="749" customFormat="1" x14ac:dyDescent="0.2">
      <c r="A51" s="1110"/>
      <c r="B51" s="1095"/>
      <c r="C51" s="1110"/>
      <c r="D51" s="1110"/>
      <c r="E51" s="1110"/>
      <c r="F51" s="1110"/>
      <c r="G51" s="1110"/>
      <c r="H51" s="1110"/>
      <c r="I51" s="1110"/>
      <c r="J51" s="1110"/>
      <c r="K51" s="1110"/>
      <c r="L51" s="1095"/>
      <c r="M51" s="1110"/>
      <c r="N51" s="1110"/>
      <c r="O51" s="1110"/>
      <c r="P51" s="1110"/>
      <c r="Q51" s="1110"/>
      <c r="R51" s="1110"/>
      <c r="S51" s="1110"/>
      <c r="T51" s="1110"/>
      <c r="U51" s="1110"/>
      <c r="V51" s="1110"/>
      <c r="W51" s="1110"/>
    </row>
    <row r="52" spans="1:42" x14ac:dyDescent="0.2">
      <c r="A52" s="1569"/>
      <c r="Q52" s="1004"/>
      <c r="W52" s="1004"/>
      <c r="AB52" s="1004"/>
      <c r="AI52" s="1004"/>
      <c r="AN52" s="1004"/>
      <c r="AO52" s="1004"/>
      <c r="AP52" s="1004"/>
    </row>
  </sheetData>
  <phoneticPr fontId="3" type="noConversion"/>
  <conditionalFormatting sqref="AN10:AP10">
    <cfRule type="expression" dxfId="0" priority="2" stopIfTrue="1">
      <formula>ISERROR(AN10)</formula>
    </cfRule>
  </conditionalFormatting>
  <pageMargins left="0.23622047244094491" right="0.15748031496062992" top="0.39370078740157483" bottom="0.39370078740157483" header="0.51181102362204722" footer="0.51181102362204722"/>
  <pageSetup paperSize="9"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5</vt:i4>
      </vt:variant>
    </vt:vector>
  </HeadingPairs>
  <TitlesOfParts>
    <vt:vector size="15" baseType="lpstr">
      <vt:lpstr>CO </vt:lpstr>
      <vt:lpstr>CO 16-17</vt:lpstr>
      <vt:lpstr>TO </vt:lpstr>
      <vt:lpstr>TO 16-17</vt:lpstr>
      <vt:lpstr>SO </vt:lpstr>
      <vt:lpstr>SO 16-17 </vt:lpstr>
      <vt:lpstr>PO </vt:lpstr>
      <vt:lpstr>PO 16-17</vt:lpstr>
      <vt:lpstr>FEV </vt:lpstr>
      <vt:lpstr>FEV 16-17</vt:lpstr>
      <vt:lpstr>'CO '!Zone_d_impression</vt:lpstr>
      <vt:lpstr>'FEV '!Zone_d_impression</vt:lpstr>
      <vt:lpstr>'PO '!Zone_d_impression</vt:lpstr>
      <vt:lpstr>'SO '!Zone_d_impression</vt:lpstr>
      <vt:lpstr>'TO '!Zone_d_impression</vt:lpstr>
    </vt:vector>
  </TitlesOfParts>
  <Company>AGENCE UNIQUE DE PAIEMENT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patrice.salle</dc:creator>
  <cp:lastModifiedBy>JOSEAU Anne</cp:lastModifiedBy>
  <cp:lastPrinted>2017-10-04T15:12:28Z</cp:lastPrinted>
  <dcterms:created xsi:type="dcterms:W3CDTF">2011-09-23T09:17:43Z</dcterms:created>
  <dcterms:modified xsi:type="dcterms:W3CDTF">2017-10-16T13:24:23Z</dcterms:modified>
</cp:coreProperties>
</file>